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sisgov-my.sharepoint.com/personal/inese_germane_cesunovads_lv/Documents/Darbvirsma/DS/2023/Sēde Nr.2_21.02.2023/Budžets/"/>
    </mc:Choice>
  </mc:AlternateContent>
  <xr:revisionPtr revIDLastSave="1" documentId="13_ncr:1_{EBE895D0-C8F2-42A8-AD12-DEC103CD6C03}" xr6:coauthVersionLast="47" xr6:coauthVersionMax="47" xr10:uidLastSave="{B019B36D-CFB9-427C-824E-B1DA8E6C06BB}"/>
  <bookViews>
    <workbookView xWindow="-108" yWindow="-108" windowWidth="23256" windowHeight="12456" xr2:uid="{CB728EEC-73CF-45B5-8212-C115D2232123}"/>
  </bookViews>
  <sheets>
    <sheet name="01.01.2023" sheetId="1" r:id="rId1"/>
  </sheets>
  <definedNames>
    <definedName name="_xlnm._FilterDatabase" localSheetId="0" hidden="1">'01.01.2023'!$A$5:$N$141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5" i="1" l="1"/>
  <c r="O155" i="1"/>
  <c r="L150" i="1"/>
  <c r="M150" i="1"/>
  <c r="F150" i="1"/>
  <c r="N150" i="1" s="1"/>
  <c r="L149" i="1"/>
  <c r="K149" i="1"/>
  <c r="J149" i="1"/>
  <c r="I149" i="1"/>
  <c r="I150" i="1" s="1"/>
  <c r="H149" i="1"/>
  <c r="G149" i="1"/>
  <c r="N149" i="1" s="1"/>
  <c r="K148" i="1"/>
  <c r="K150" i="1" s="1"/>
  <c r="J148" i="1"/>
  <c r="J150" i="1" s="1"/>
  <c r="I148" i="1"/>
  <c r="H148" i="1"/>
  <c r="H150" i="1" s="1"/>
  <c r="G148" i="1"/>
  <c r="G150" i="1" s="1"/>
  <c r="F148" i="1"/>
  <c r="M143" i="1"/>
  <c r="L143" i="1"/>
  <c r="K143" i="1"/>
  <c r="J143" i="1"/>
  <c r="I143" i="1"/>
  <c r="G143" i="1"/>
  <c r="H143" i="1"/>
  <c r="F143" i="1"/>
  <c r="N148" i="1" l="1"/>
  <c r="N143" i="1"/>
  <c r="F141" i="1" l="1"/>
  <c r="F145" i="1" s="1"/>
  <c r="F151" i="1" s="1"/>
  <c r="F153" i="1" l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3" i="1"/>
  <c r="M122" i="1"/>
  <c r="M121" i="1"/>
  <c r="M120" i="1"/>
  <c r="M118" i="1"/>
  <c r="M117" i="1"/>
  <c r="M116" i="1"/>
  <c r="M115" i="1"/>
  <c r="M114" i="1"/>
  <c r="M113" i="1"/>
  <c r="M112" i="1"/>
  <c r="M111" i="1"/>
  <c r="M108" i="1"/>
  <c r="M107" i="1"/>
  <c r="M104" i="1"/>
  <c r="M103" i="1"/>
  <c r="M102" i="1"/>
  <c r="M101" i="1"/>
  <c r="M100" i="1"/>
  <c r="M98" i="1"/>
  <c r="M97" i="1"/>
  <c r="M96" i="1"/>
  <c r="M95" i="1"/>
  <c r="M94" i="1"/>
  <c r="M92" i="1"/>
  <c r="M91" i="1"/>
  <c r="M90" i="1"/>
  <c r="M89" i="1"/>
  <c r="M87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6" i="1"/>
  <c r="M65" i="1"/>
  <c r="M63" i="1"/>
  <c r="M62" i="1"/>
  <c r="M61" i="1"/>
  <c r="M60" i="1"/>
  <c r="M59" i="1"/>
  <c r="M58" i="1"/>
  <c r="M57" i="1"/>
  <c r="M55" i="1"/>
  <c r="M54" i="1"/>
  <c r="M52" i="1"/>
  <c r="M51" i="1"/>
  <c r="M50" i="1"/>
  <c r="M49" i="1"/>
  <c r="M48" i="1"/>
  <c r="M47" i="1"/>
  <c r="M46" i="1"/>
  <c r="M43" i="1"/>
  <c r="M39" i="1"/>
  <c r="M38" i="1"/>
  <c r="M37" i="1"/>
  <c r="M36" i="1"/>
  <c r="M32" i="1" l="1"/>
  <c r="M30" i="1"/>
  <c r="M29" i="1"/>
  <c r="M27" i="1" l="1"/>
  <c r="M24" i="1"/>
  <c r="M17" i="1"/>
  <c r="M18" i="1"/>
  <c r="M22" i="1"/>
  <c r="L26" i="1"/>
  <c r="L31" i="1"/>
  <c r="L33" i="1"/>
  <c r="L34" i="1"/>
  <c r="L35" i="1"/>
  <c r="L40" i="1"/>
  <c r="L44" i="1"/>
  <c r="L45" i="1"/>
  <c r="L56" i="1"/>
  <c r="N56" i="1" s="1"/>
  <c r="L67" i="1"/>
  <c r="N67" i="1" s="1"/>
  <c r="L93" i="1"/>
  <c r="L99" i="1"/>
  <c r="N99" i="1" s="1"/>
  <c r="L105" i="1"/>
  <c r="L106" i="1"/>
  <c r="L109" i="1"/>
  <c r="L119" i="1"/>
  <c r="L124" i="1"/>
  <c r="N7" i="1"/>
  <c r="N6" i="1"/>
  <c r="E131" i="1"/>
  <c r="E130" i="1"/>
  <c r="E127" i="1"/>
  <c r="E123" i="1"/>
  <c r="E122" i="1"/>
  <c r="E121" i="1"/>
  <c r="E117" i="1"/>
  <c r="E116" i="1"/>
  <c r="E115" i="1"/>
  <c r="E113" i="1"/>
  <c r="E110" i="1"/>
  <c r="E108" i="1"/>
  <c r="E107" i="1"/>
  <c r="E106" i="1"/>
  <c r="E104" i="1"/>
  <c r="E102" i="1"/>
  <c r="E101" i="1"/>
  <c r="E100" i="1"/>
  <c r="E95" i="1"/>
  <c r="E93" i="1"/>
  <c r="E92" i="1"/>
  <c r="E91" i="1"/>
  <c r="E88" i="1"/>
  <c r="E87" i="1"/>
  <c r="E80" i="1"/>
  <c r="E79" i="1"/>
  <c r="E78" i="1"/>
  <c r="E77" i="1"/>
  <c r="E76" i="1"/>
  <c r="E72" i="1"/>
  <c r="E71" i="1"/>
  <c r="E69" i="1"/>
  <c r="E68" i="1"/>
  <c r="E67" i="1"/>
  <c r="E66" i="1"/>
  <c r="E65" i="1"/>
  <c r="E64" i="1"/>
  <c r="E63" i="1"/>
  <c r="E60" i="1"/>
  <c r="E59" i="1"/>
  <c r="E57" i="1"/>
  <c r="E53" i="1"/>
  <c r="E51" i="1"/>
  <c r="E47" i="1"/>
  <c r="E46" i="1"/>
  <c r="E40" i="1"/>
  <c r="E39" i="1"/>
  <c r="E38" i="1"/>
  <c r="E37" i="1"/>
  <c r="E36" i="1"/>
  <c r="E34" i="1"/>
  <c r="E33" i="1"/>
  <c r="E30" i="1"/>
  <c r="E29" i="1"/>
  <c r="E28" i="1"/>
  <c r="E25" i="1"/>
  <c r="E24" i="1"/>
  <c r="E22" i="1"/>
  <c r="E17" i="1"/>
  <c r="E14" i="1"/>
  <c r="E13" i="1"/>
  <c r="E12" i="1"/>
  <c r="E11" i="1"/>
  <c r="E10" i="1"/>
  <c r="E9" i="1"/>
  <c r="E8" i="1"/>
  <c r="E7" i="1"/>
  <c r="E6" i="1"/>
  <c r="D131" i="1"/>
  <c r="D130" i="1"/>
  <c r="D127" i="1"/>
  <c r="D123" i="1"/>
  <c r="D122" i="1"/>
  <c r="D121" i="1"/>
  <c r="D117" i="1"/>
  <c r="D116" i="1"/>
  <c r="D115" i="1"/>
  <c r="D113" i="1"/>
  <c r="D110" i="1"/>
  <c r="D108" i="1"/>
  <c r="D107" i="1"/>
  <c r="D106" i="1"/>
  <c r="D104" i="1"/>
  <c r="D102" i="1"/>
  <c r="D101" i="1"/>
  <c r="D100" i="1"/>
  <c r="D95" i="1"/>
  <c r="D93" i="1"/>
  <c r="D92" i="1"/>
  <c r="D91" i="1"/>
  <c r="D88" i="1"/>
  <c r="D87" i="1"/>
  <c r="D80" i="1"/>
  <c r="D79" i="1"/>
  <c r="D78" i="1"/>
  <c r="D77" i="1"/>
  <c r="D76" i="1"/>
  <c r="D72" i="1"/>
  <c r="D71" i="1"/>
  <c r="D69" i="1"/>
  <c r="D68" i="1"/>
  <c r="D67" i="1"/>
  <c r="D66" i="1"/>
  <c r="D65" i="1"/>
  <c r="D64" i="1"/>
  <c r="D63" i="1"/>
  <c r="D60" i="1"/>
  <c r="D59" i="1"/>
  <c r="D57" i="1"/>
  <c r="D53" i="1"/>
  <c r="D51" i="1"/>
  <c r="D47" i="1"/>
  <c r="D46" i="1"/>
  <c r="D40" i="1"/>
  <c r="D39" i="1"/>
  <c r="D38" i="1"/>
  <c r="D37" i="1"/>
  <c r="D36" i="1"/>
  <c r="D34" i="1"/>
  <c r="D33" i="1"/>
  <c r="D30" i="1"/>
  <c r="D29" i="1"/>
  <c r="D28" i="1"/>
  <c r="D25" i="1"/>
  <c r="D24" i="1"/>
  <c r="D22" i="1"/>
  <c r="D17" i="1"/>
  <c r="D14" i="1"/>
  <c r="D13" i="1"/>
  <c r="D12" i="1"/>
  <c r="D11" i="1"/>
  <c r="D10" i="1"/>
  <c r="D9" i="1"/>
  <c r="D8" i="1"/>
  <c r="D7" i="1"/>
  <c r="D6" i="1"/>
  <c r="R7" i="1"/>
  <c r="R8" i="1"/>
  <c r="R9" i="1"/>
  <c r="R10" i="1"/>
  <c r="R11" i="1"/>
  <c r="R12" i="1"/>
  <c r="R13" i="1"/>
  <c r="R14" i="1"/>
  <c r="R17" i="1"/>
  <c r="R22" i="1"/>
  <c r="R24" i="1"/>
  <c r="R25" i="1"/>
  <c r="R28" i="1"/>
  <c r="R29" i="1"/>
  <c r="R30" i="1"/>
  <c r="R33" i="1"/>
  <c r="R34" i="1"/>
  <c r="R36" i="1"/>
  <c r="R37" i="1"/>
  <c r="R38" i="1"/>
  <c r="R39" i="1"/>
  <c r="R40" i="1"/>
  <c r="R46" i="1"/>
  <c r="R47" i="1"/>
  <c r="R51" i="1"/>
  <c r="R53" i="1"/>
  <c r="R57" i="1"/>
  <c r="R59" i="1"/>
  <c r="R60" i="1"/>
  <c r="R63" i="1"/>
  <c r="R64" i="1"/>
  <c r="R65" i="1"/>
  <c r="R66" i="1"/>
  <c r="R67" i="1"/>
  <c r="R68" i="1"/>
  <c r="R69" i="1"/>
  <c r="R71" i="1"/>
  <c r="R72" i="1"/>
  <c r="R76" i="1"/>
  <c r="R77" i="1"/>
  <c r="R78" i="1"/>
  <c r="R79" i="1"/>
  <c r="R80" i="1"/>
  <c r="R87" i="1"/>
  <c r="R88" i="1"/>
  <c r="R91" i="1"/>
  <c r="R92" i="1"/>
  <c r="R93" i="1"/>
  <c r="R95" i="1"/>
  <c r="R100" i="1"/>
  <c r="R101" i="1"/>
  <c r="R102" i="1"/>
  <c r="R104" i="1"/>
  <c r="R106" i="1"/>
  <c r="R107" i="1"/>
  <c r="R108" i="1"/>
  <c r="R110" i="1"/>
  <c r="R113" i="1"/>
  <c r="R115" i="1"/>
  <c r="R116" i="1"/>
  <c r="R117" i="1"/>
  <c r="R121" i="1"/>
  <c r="R122" i="1"/>
  <c r="R123" i="1"/>
  <c r="R127" i="1"/>
  <c r="R130" i="1"/>
  <c r="R131" i="1"/>
  <c r="R6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Q7" i="1"/>
  <c r="Q8" i="1"/>
  <c r="Q9" i="1"/>
  <c r="Q10" i="1"/>
  <c r="Q11" i="1"/>
  <c r="Q12" i="1"/>
  <c r="Q13" i="1"/>
  <c r="Q14" i="1"/>
  <c r="Q17" i="1"/>
  <c r="Q22" i="1"/>
  <c r="Q24" i="1"/>
  <c r="Q25" i="1"/>
  <c r="Q28" i="1"/>
  <c r="Q29" i="1"/>
  <c r="Q30" i="1"/>
  <c r="Q33" i="1"/>
  <c r="Q34" i="1"/>
  <c r="Q36" i="1"/>
  <c r="Q37" i="1"/>
  <c r="Q38" i="1"/>
  <c r="Q39" i="1"/>
  <c r="Q40" i="1"/>
  <c r="Q46" i="1"/>
  <c r="Q47" i="1"/>
  <c r="Q51" i="1"/>
  <c r="Q53" i="1"/>
  <c r="Q57" i="1"/>
  <c r="Q59" i="1"/>
  <c r="Q60" i="1"/>
  <c r="Q63" i="1"/>
  <c r="Q64" i="1"/>
  <c r="Q65" i="1"/>
  <c r="Q66" i="1"/>
  <c r="Q67" i="1"/>
  <c r="Q68" i="1"/>
  <c r="Q69" i="1"/>
  <c r="Q71" i="1"/>
  <c r="Q72" i="1"/>
  <c r="Q76" i="1"/>
  <c r="Q77" i="1"/>
  <c r="Q78" i="1"/>
  <c r="Q79" i="1"/>
  <c r="Q80" i="1"/>
  <c r="Q87" i="1"/>
  <c r="Q88" i="1"/>
  <c r="Q91" i="1"/>
  <c r="Q92" i="1"/>
  <c r="Q93" i="1"/>
  <c r="Q95" i="1"/>
  <c r="Q100" i="1"/>
  <c r="Q101" i="1"/>
  <c r="Q102" i="1"/>
  <c r="Q104" i="1"/>
  <c r="Q106" i="1"/>
  <c r="Q107" i="1"/>
  <c r="Q108" i="1"/>
  <c r="Q110" i="1"/>
  <c r="Q113" i="1"/>
  <c r="Q115" i="1"/>
  <c r="Q116" i="1"/>
  <c r="Q117" i="1"/>
  <c r="Q121" i="1"/>
  <c r="Q122" i="1"/>
  <c r="Q123" i="1"/>
  <c r="Q127" i="1"/>
  <c r="Q130" i="1"/>
  <c r="Q131" i="1"/>
  <c r="Q6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M15" i="1"/>
  <c r="M16" i="1"/>
  <c r="M53" i="1"/>
  <c r="M68" i="1"/>
  <c r="K15" i="1"/>
  <c r="K16" i="1"/>
  <c r="K17" i="1"/>
  <c r="K18" i="1"/>
  <c r="K19" i="1"/>
  <c r="K20" i="1"/>
  <c r="K21" i="1"/>
  <c r="K22" i="1"/>
  <c r="L22" i="1" s="1"/>
  <c r="K23" i="1"/>
  <c r="K24" i="1"/>
  <c r="L24" i="1" s="1"/>
  <c r="K25" i="1"/>
  <c r="K27" i="1"/>
  <c r="L27" i="1" s="1"/>
  <c r="K28" i="1"/>
  <c r="K29" i="1"/>
  <c r="L29" i="1" s="1"/>
  <c r="K30" i="1"/>
  <c r="L30" i="1" s="1"/>
  <c r="K32" i="1"/>
  <c r="L32" i="1" s="1"/>
  <c r="K36" i="1"/>
  <c r="L36" i="1" s="1"/>
  <c r="K37" i="1"/>
  <c r="L37" i="1" s="1"/>
  <c r="K38" i="1"/>
  <c r="L38" i="1" s="1"/>
  <c r="K39" i="1"/>
  <c r="L39" i="1" s="1"/>
  <c r="K41" i="1"/>
  <c r="K42" i="1"/>
  <c r="K43" i="1"/>
  <c r="L43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K54" i="1"/>
  <c r="L54" i="1" s="1"/>
  <c r="K55" i="1"/>
  <c r="L55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K65" i="1"/>
  <c r="L65" i="1" s="1"/>
  <c r="K66" i="1"/>
  <c r="L66" i="1" s="1"/>
  <c r="K68" i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K83" i="1"/>
  <c r="K84" i="1"/>
  <c r="K85" i="1"/>
  <c r="K86" i="1"/>
  <c r="K87" i="1"/>
  <c r="L87" i="1" s="1"/>
  <c r="K88" i="1"/>
  <c r="K89" i="1"/>
  <c r="L89" i="1" s="1"/>
  <c r="K90" i="1"/>
  <c r="L90" i="1" s="1"/>
  <c r="K91" i="1"/>
  <c r="L91" i="1" s="1"/>
  <c r="K92" i="1"/>
  <c r="L92" i="1" s="1"/>
  <c r="K94" i="1"/>
  <c r="L94" i="1" s="1"/>
  <c r="K95" i="1"/>
  <c r="L95" i="1" s="1"/>
  <c r="K96" i="1"/>
  <c r="L96" i="1" s="1"/>
  <c r="K97" i="1"/>
  <c r="L97" i="1" s="1"/>
  <c r="K98" i="1"/>
  <c r="L98" i="1" s="1"/>
  <c r="K100" i="1"/>
  <c r="L100" i="1" s="1"/>
  <c r="K101" i="1"/>
  <c r="L101" i="1" s="1"/>
  <c r="K102" i="1"/>
  <c r="L102" i="1" s="1"/>
  <c r="K103" i="1"/>
  <c r="L103" i="1" s="1"/>
  <c r="K104" i="1"/>
  <c r="L104" i="1" s="1"/>
  <c r="K107" i="1"/>
  <c r="L107" i="1" s="1"/>
  <c r="K108" i="1"/>
  <c r="L108" i="1" s="1"/>
  <c r="K110" i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20" i="1"/>
  <c r="L120" i="1" s="1"/>
  <c r="K121" i="1"/>
  <c r="L121" i="1" s="1"/>
  <c r="K122" i="1"/>
  <c r="L122" i="1" s="1"/>
  <c r="K123" i="1"/>
  <c r="L123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J10" i="1"/>
  <c r="J14" i="1"/>
  <c r="J15" i="1"/>
  <c r="J16" i="1"/>
  <c r="J17" i="1"/>
  <c r="J18" i="1"/>
  <c r="J19" i="1"/>
  <c r="J20" i="1"/>
  <c r="J21" i="1"/>
  <c r="J22" i="1"/>
  <c r="J23" i="1"/>
  <c r="J24" i="1"/>
  <c r="J25" i="1"/>
  <c r="J27" i="1"/>
  <c r="J28" i="1"/>
  <c r="J29" i="1"/>
  <c r="J30" i="1"/>
  <c r="J32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8" i="1"/>
  <c r="J100" i="1"/>
  <c r="J101" i="1"/>
  <c r="J102" i="1"/>
  <c r="J103" i="1"/>
  <c r="J104" i="1"/>
  <c r="J106" i="1"/>
  <c r="J107" i="1"/>
  <c r="J108" i="1"/>
  <c r="J110" i="1"/>
  <c r="J111" i="1"/>
  <c r="J112" i="1"/>
  <c r="J113" i="1"/>
  <c r="J114" i="1"/>
  <c r="J115" i="1"/>
  <c r="J116" i="1"/>
  <c r="J117" i="1"/>
  <c r="J118" i="1"/>
  <c r="J120" i="1"/>
  <c r="J121" i="1"/>
  <c r="J122" i="1"/>
  <c r="J123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I8" i="1"/>
  <c r="I9" i="1"/>
  <c r="I10" i="1"/>
  <c r="I14" i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0" i="1"/>
  <c r="I31" i="1"/>
  <c r="I32" i="1"/>
  <c r="I33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50" i="1"/>
  <c r="I51" i="1"/>
  <c r="I52" i="1"/>
  <c r="I53" i="1"/>
  <c r="I54" i="1"/>
  <c r="I55" i="1"/>
  <c r="I57" i="1"/>
  <c r="I58" i="1"/>
  <c r="I59" i="1"/>
  <c r="I60" i="1"/>
  <c r="I61" i="1"/>
  <c r="I62" i="1"/>
  <c r="I63" i="1"/>
  <c r="I64" i="1"/>
  <c r="I65" i="1"/>
  <c r="I66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4" i="1"/>
  <c r="I95" i="1"/>
  <c r="I96" i="1"/>
  <c r="I97" i="1"/>
  <c r="I98" i="1"/>
  <c r="I100" i="1"/>
  <c r="I101" i="1"/>
  <c r="I102" i="1"/>
  <c r="I103" i="1"/>
  <c r="I104" i="1"/>
  <c r="I106" i="1"/>
  <c r="I107" i="1"/>
  <c r="I108" i="1"/>
  <c r="I110" i="1"/>
  <c r="I111" i="1"/>
  <c r="I112" i="1"/>
  <c r="I113" i="1"/>
  <c r="I114" i="1"/>
  <c r="I115" i="1"/>
  <c r="I116" i="1"/>
  <c r="I117" i="1"/>
  <c r="I118" i="1"/>
  <c r="I120" i="1"/>
  <c r="I121" i="1"/>
  <c r="I122" i="1"/>
  <c r="I123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H8" i="1"/>
  <c r="H9" i="1"/>
  <c r="H10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62" i="1"/>
  <c r="H63" i="1"/>
  <c r="H64" i="1"/>
  <c r="H65" i="1"/>
  <c r="H66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4" i="1"/>
  <c r="H95" i="1"/>
  <c r="H96" i="1"/>
  <c r="H97" i="1"/>
  <c r="H98" i="1"/>
  <c r="H100" i="1"/>
  <c r="H101" i="1"/>
  <c r="H102" i="1"/>
  <c r="H103" i="1"/>
  <c r="H104" i="1"/>
  <c r="H106" i="1"/>
  <c r="H107" i="1"/>
  <c r="H108" i="1"/>
  <c r="H110" i="1"/>
  <c r="H111" i="1"/>
  <c r="H112" i="1"/>
  <c r="H113" i="1"/>
  <c r="H114" i="1"/>
  <c r="H115" i="1"/>
  <c r="H116" i="1"/>
  <c r="H117" i="1"/>
  <c r="H118" i="1"/>
  <c r="H120" i="1"/>
  <c r="H121" i="1"/>
  <c r="H122" i="1"/>
  <c r="H123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G8" i="1"/>
  <c r="G9" i="1"/>
  <c r="N9" i="1" s="1"/>
  <c r="G10" i="1"/>
  <c r="G11" i="1"/>
  <c r="N11" i="1" s="1"/>
  <c r="G12" i="1"/>
  <c r="N12" i="1" s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N28" i="1" s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N45" i="1" s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6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N14" i="1" l="1"/>
  <c r="N13" i="1"/>
  <c r="N110" i="1"/>
  <c r="N22" i="1"/>
  <c r="L141" i="1"/>
  <c r="L145" i="1" s="1"/>
  <c r="L151" i="1" s="1"/>
  <c r="L153" i="1" s="1"/>
  <c r="N134" i="1"/>
  <c r="N93" i="1"/>
  <c r="N43" i="1"/>
  <c r="N46" i="1"/>
  <c r="J141" i="1"/>
  <c r="J145" i="1" s="1"/>
  <c r="J151" i="1" s="1"/>
  <c r="J153" i="1" s="1"/>
  <c r="N86" i="1"/>
  <c r="N44" i="1"/>
  <c r="N102" i="1"/>
  <c r="N60" i="1"/>
  <c r="N19" i="1"/>
  <c r="N117" i="1"/>
  <c r="N109" i="1"/>
  <c r="N101" i="1"/>
  <c r="N92" i="1"/>
  <c r="N84" i="1"/>
  <c r="N76" i="1"/>
  <c r="N68" i="1"/>
  <c r="N59" i="1"/>
  <c r="N50" i="1"/>
  <c r="N42" i="1"/>
  <c r="N34" i="1"/>
  <c r="N26" i="1"/>
  <c r="N18" i="1"/>
  <c r="N10" i="1"/>
  <c r="N61" i="1"/>
  <c r="N126" i="1"/>
  <c r="N85" i="1"/>
  <c r="N51" i="1"/>
  <c r="N133" i="1"/>
  <c r="N132" i="1"/>
  <c r="N124" i="1"/>
  <c r="N116" i="1"/>
  <c r="N108" i="1"/>
  <c r="N100" i="1"/>
  <c r="N91" i="1"/>
  <c r="N83" i="1"/>
  <c r="N75" i="1"/>
  <c r="N66" i="1"/>
  <c r="N58" i="1"/>
  <c r="N17" i="1"/>
  <c r="N54" i="1"/>
  <c r="N30" i="1"/>
  <c r="H141" i="1"/>
  <c r="H145" i="1" s="1"/>
  <c r="H151" i="1" s="1"/>
  <c r="H153" i="1" s="1"/>
  <c r="N62" i="1"/>
  <c r="N37" i="1"/>
  <c r="N21" i="1"/>
  <c r="N78" i="1"/>
  <c r="N52" i="1"/>
  <c r="N20" i="1"/>
  <c r="N118" i="1"/>
  <c r="N69" i="1"/>
  <c r="N140" i="1"/>
  <c r="N139" i="1"/>
  <c r="N131" i="1"/>
  <c r="N123" i="1"/>
  <c r="N115" i="1"/>
  <c r="N107" i="1"/>
  <c r="N98" i="1"/>
  <c r="N90" i="1"/>
  <c r="N82" i="1"/>
  <c r="N74" i="1"/>
  <c r="N16" i="1"/>
  <c r="G141" i="1"/>
  <c r="G145" i="1" s="1"/>
  <c r="G151" i="1" s="1"/>
  <c r="I141" i="1"/>
  <c r="I145" i="1" s="1"/>
  <c r="I151" i="1" s="1"/>
  <c r="I153" i="1" s="1"/>
  <c r="K141" i="1"/>
  <c r="K145" i="1" s="1"/>
  <c r="K151" i="1" s="1"/>
  <c r="K153" i="1" s="1"/>
  <c r="N38" i="1"/>
  <c r="N53" i="1"/>
  <c r="N29" i="1"/>
  <c r="N94" i="1"/>
  <c r="N70" i="1"/>
  <c r="N36" i="1"/>
  <c r="N77" i="1"/>
  <c r="N35" i="1"/>
  <c r="N125" i="1"/>
  <c r="N138" i="1"/>
  <c r="N130" i="1"/>
  <c r="N122" i="1"/>
  <c r="N114" i="1"/>
  <c r="N106" i="1"/>
  <c r="N15" i="1"/>
  <c r="N27" i="1"/>
  <c r="M141" i="1"/>
  <c r="M145" i="1" s="1"/>
  <c r="M151" i="1" s="1"/>
  <c r="N49" i="1"/>
  <c r="N25" i="1"/>
  <c r="N57" i="1"/>
  <c r="N32" i="1"/>
  <c r="N97" i="1"/>
  <c r="N89" i="1"/>
  <c r="N81" i="1"/>
  <c r="N73" i="1"/>
  <c r="N64" i="1"/>
  <c r="N55" i="1"/>
  <c r="N47" i="1"/>
  <c r="N39" i="1"/>
  <c r="N31" i="1"/>
  <c r="N23" i="1"/>
  <c r="N41" i="1"/>
  <c r="N137" i="1"/>
  <c r="N121" i="1"/>
  <c r="N113" i="1"/>
  <c r="N105" i="1"/>
  <c r="N96" i="1"/>
  <c r="N88" i="1"/>
  <c r="N80" i="1"/>
  <c r="N72" i="1"/>
  <c r="N63" i="1"/>
  <c r="N136" i="1"/>
  <c r="N128" i="1"/>
  <c r="N120" i="1"/>
  <c r="N112" i="1"/>
  <c r="N104" i="1"/>
  <c r="N95" i="1"/>
  <c r="N87" i="1"/>
  <c r="N79" i="1"/>
  <c r="N71" i="1"/>
  <c r="N33" i="1"/>
  <c r="N65" i="1"/>
  <c r="N48" i="1"/>
  <c r="N24" i="1"/>
  <c r="N129" i="1"/>
  <c r="N135" i="1"/>
  <c r="N127" i="1"/>
  <c r="N119" i="1"/>
  <c r="N111" i="1"/>
  <c r="N103" i="1"/>
  <c r="N40" i="1"/>
  <c r="N8" i="1"/>
  <c r="D138" i="1"/>
  <c r="E140" i="1"/>
  <c r="D35" i="1"/>
  <c r="D20" i="1"/>
  <c r="D52" i="1"/>
  <c r="D62" i="1"/>
  <c r="D70" i="1"/>
  <c r="D97" i="1"/>
  <c r="D114" i="1"/>
  <c r="D139" i="1"/>
  <c r="E42" i="1"/>
  <c r="E56" i="1"/>
  <c r="E99" i="1"/>
  <c r="E125" i="1"/>
  <c r="E133" i="1"/>
  <c r="D21" i="1"/>
  <c r="D41" i="1"/>
  <c r="D89" i="1"/>
  <c r="D98" i="1"/>
  <c r="D124" i="1"/>
  <c r="D132" i="1"/>
  <c r="D140" i="1"/>
  <c r="E23" i="1"/>
  <c r="E35" i="1"/>
  <c r="E73" i="1"/>
  <c r="E83" i="1"/>
  <c r="E109" i="1"/>
  <c r="E126" i="1"/>
  <c r="E134" i="1"/>
  <c r="D42" i="1"/>
  <c r="D56" i="1"/>
  <c r="D99" i="1"/>
  <c r="D125" i="1"/>
  <c r="D133" i="1"/>
  <c r="E58" i="1"/>
  <c r="E74" i="1"/>
  <c r="E84" i="1"/>
  <c r="E119" i="1"/>
  <c r="D23" i="1"/>
  <c r="D73" i="1"/>
  <c r="D83" i="1"/>
  <c r="D109" i="1"/>
  <c r="D126" i="1"/>
  <c r="D134" i="1"/>
  <c r="E15" i="1"/>
  <c r="E49" i="1"/>
  <c r="E75" i="1"/>
  <c r="E85" i="1"/>
  <c r="E94" i="1"/>
  <c r="E111" i="1"/>
  <c r="E120" i="1"/>
  <c r="E128" i="1"/>
  <c r="D58" i="1"/>
  <c r="D74" i="1"/>
  <c r="D84" i="1"/>
  <c r="D119" i="1"/>
  <c r="E16" i="1"/>
  <c r="E50" i="1"/>
  <c r="E86" i="1"/>
  <c r="E112" i="1"/>
  <c r="E129" i="1"/>
  <c r="D15" i="1"/>
  <c r="D49" i="1"/>
  <c r="D75" i="1"/>
  <c r="D85" i="1"/>
  <c r="D94" i="1"/>
  <c r="D111" i="1"/>
  <c r="D120" i="1"/>
  <c r="D128" i="1"/>
  <c r="E61" i="1"/>
  <c r="E96" i="1"/>
  <c r="E105" i="1"/>
  <c r="E138" i="1"/>
  <c r="D16" i="1"/>
  <c r="D50" i="1"/>
  <c r="D86" i="1"/>
  <c r="D112" i="1"/>
  <c r="D129" i="1"/>
  <c r="E20" i="1"/>
  <c r="E52" i="1"/>
  <c r="E62" i="1"/>
  <c r="E70" i="1"/>
  <c r="E97" i="1"/>
  <c r="E114" i="1"/>
  <c r="E139" i="1"/>
  <c r="D61" i="1"/>
  <c r="D96" i="1"/>
  <c r="D105" i="1"/>
  <c r="E21" i="1"/>
  <c r="E41" i="1"/>
  <c r="E89" i="1"/>
  <c r="E98" i="1"/>
  <c r="E124" i="1"/>
  <c r="E132" i="1"/>
  <c r="R15" i="1"/>
  <c r="R134" i="1"/>
  <c r="R126" i="1"/>
  <c r="R118" i="1"/>
  <c r="R94" i="1"/>
  <c r="R86" i="1"/>
  <c r="R70" i="1"/>
  <c r="R62" i="1"/>
  <c r="R54" i="1"/>
  <c r="R133" i="1"/>
  <c r="R125" i="1"/>
  <c r="R109" i="1"/>
  <c r="R85" i="1"/>
  <c r="R61" i="1"/>
  <c r="R45" i="1"/>
  <c r="R21" i="1"/>
  <c r="R140" i="1"/>
  <c r="R132" i="1"/>
  <c r="R124" i="1"/>
  <c r="R84" i="1"/>
  <c r="R52" i="1"/>
  <c r="R44" i="1"/>
  <c r="R20" i="1"/>
  <c r="R139" i="1"/>
  <c r="R99" i="1"/>
  <c r="R83" i="1"/>
  <c r="R75" i="1"/>
  <c r="R43" i="1"/>
  <c r="R35" i="1"/>
  <c r="R27" i="1"/>
  <c r="R19" i="1"/>
  <c r="R138" i="1"/>
  <c r="R114" i="1"/>
  <c r="R98" i="1"/>
  <c r="R90" i="1"/>
  <c r="R82" i="1"/>
  <c r="R74" i="1"/>
  <c r="R58" i="1"/>
  <c r="R50" i="1"/>
  <c r="R42" i="1"/>
  <c r="R26" i="1"/>
  <c r="R18" i="1"/>
  <c r="R137" i="1"/>
  <c r="R129" i="1"/>
  <c r="R105" i="1"/>
  <c r="R97" i="1"/>
  <c r="R89" i="1"/>
  <c r="R81" i="1"/>
  <c r="R73" i="1"/>
  <c r="R49" i="1"/>
  <c r="R41" i="1"/>
  <c r="R136" i="1"/>
  <c r="R128" i="1"/>
  <c r="R120" i="1"/>
  <c r="R112" i="1"/>
  <c r="R96" i="1"/>
  <c r="R56" i="1"/>
  <c r="R48" i="1"/>
  <c r="R32" i="1"/>
  <c r="R16" i="1"/>
  <c r="R135" i="1"/>
  <c r="R119" i="1"/>
  <c r="R111" i="1"/>
  <c r="R103" i="1"/>
  <c r="R55" i="1"/>
  <c r="R31" i="1"/>
  <c r="R23" i="1"/>
  <c r="Q15" i="1"/>
  <c r="Q129" i="1"/>
  <c r="Q134" i="1"/>
  <c r="Q126" i="1"/>
  <c r="Q118" i="1"/>
  <c r="Q94" i="1"/>
  <c r="Q86" i="1"/>
  <c r="Q70" i="1"/>
  <c r="Q62" i="1"/>
  <c r="Q54" i="1"/>
  <c r="Q133" i="1"/>
  <c r="Q125" i="1"/>
  <c r="Q109" i="1"/>
  <c r="Q85" i="1"/>
  <c r="Q61" i="1"/>
  <c r="Q45" i="1"/>
  <c r="Q21" i="1"/>
  <c r="Q140" i="1"/>
  <c r="Q132" i="1"/>
  <c r="Q124" i="1"/>
  <c r="Q84" i="1"/>
  <c r="Q52" i="1"/>
  <c r="Q44" i="1"/>
  <c r="Q20" i="1"/>
  <c r="Q139" i="1"/>
  <c r="Q99" i="1"/>
  <c r="Q83" i="1"/>
  <c r="Q75" i="1"/>
  <c r="Q43" i="1"/>
  <c r="Q35" i="1"/>
  <c r="Q27" i="1"/>
  <c r="Q19" i="1"/>
  <c r="Q138" i="1"/>
  <c r="Q114" i="1"/>
  <c r="Q98" i="1"/>
  <c r="Q90" i="1"/>
  <c r="Q82" i="1"/>
  <c r="Q74" i="1"/>
  <c r="Q58" i="1"/>
  <c r="Q50" i="1"/>
  <c r="Q42" i="1"/>
  <c r="Q26" i="1"/>
  <c r="Q18" i="1"/>
  <c r="Q137" i="1"/>
  <c r="Q105" i="1"/>
  <c r="Q97" i="1"/>
  <c r="Q89" i="1"/>
  <c r="Q81" i="1"/>
  <c r="Q73" i="1"/>
  <c r="Q49" i="1"/>
  <c r="Q41" i="1"/>
  <c r="Q136" i="1"/>
  <c r="Q128" i="1"/>
  <c r="Q120" i="1"/>
  <c r="Q112" i="1"/>
  <c r="Q96" i="1"/>
  <c r="Q56" i="1"/>
  <c r="Q48" i="1"/>
  <c r="Q32" i="1"/>
  <c r="Q16" i="1"/>
  <c r="Q135" i="1"/>
  <c r="Q119" i="1"/>
  <c r="Q111" i="1"/>
  <c r="Q103" i="1"/>
  <c r="Q55" i="1"/>
  <c r="Q31" i="1"/>
  <c r="Q23" i="1"/>
  <c r="G153" i="1" l="1"/>
  <c r="N151" i="1"/>
  <c r="N145" i="1"/>
  <c r="N141" i="1"/>
</calcChain>
</file>

<file path=xl/sharedStrings.xml><?xml version="1.0" encoding="utf-8"?>
<sst xmlns="http://schemas.openxmlformats.org/spreadsheetml/2006/main" count="2184" uniqueCount="564">
  <si>
    <t>A2/1/06/258</t>
  </si>
  <si>
    <t>P-131/2006</t>
  </si>
  <si>
    <t>A2/1/07/255</t>
  </si>
  <si>
    <t>P-151/2007</t>
  </si>
  <si>
    <t>A2/1/07/298</t>
  </si>
  <si>
    <t>P-191/2007</t>
  </si>
  <si>
    <t>A2/1/07/497</t>
  </si>
  <si>
    <t>P-312/2007</t>
  </si>
  <si>
    <t>A2/1/07/498</t>
  </si>
  <si>
    <t>P-318/2007</t>
  </si>
  <si>
    <t>A2/1/08/438</t>
  </si>
  <si>
    <t>P-118/2008</t>
  </si>
  <si>
    <t>A2/1/08/454</t>
  </si>
  <si>
    <t>P-134/2008</t>
  </si>
  <si>
    <t>A2/1/08/448</t>
  </si>
  <si>
    <t>P-126/2008</t>
  </si>
  <si>
    <t>A2/1/08/449</t>
  </si>
  <si>
    <t>P-127/2008</t>
  </si>
  <si>
    <t>A2/1/08/587</t>
  </si>
  <si>
    <t>P-218/2008</t>
  </si>
  <si>
    <t>A2/1/08/845</t>
  </si>
  <si>
    <t>P-364/2008</t>
  </si>
  <si>
    <t>A2/1/09/185</t>
  </si>
  <si>
    <t>P-79/2009</t>
  </si>
  <si>
    <t>A2/1/09/496</t>
  </si>
  <si>
    <t>P-217/2009</t>
  </si>
  <si>
    <t>A2/1/09/512</t>
  </si>
  <si>
    <t>P-216/2009</t>
  </si>
  <si>
    <t>A2/1/09/793</t>
  </si>
  <si>
    <t>P-366/2009</t>
  </si>
  <si>
    <t>A2/1/09/887</t>
  </si>
  <si>
    <t>P-392/2009</t>
  </si>
  <si>
    <t>A2/1/10/157</t>
  </si>
  <si>
    <t>P-3/2010</t>
  </si>
  <si>
    <t>A2/1/10/237</t>
  </si>
  <si>
    <t>P-50/2010</t>
  </si>
  <si>
    <t>A2/1/10/536</t>
  </si>
  <si>
    <t>P-212/2010</t>
  </si>
  <si>
    <t>A2/1/10/686</t>
  </si>
  <si>
    <t>P-292/2010</t>
  </si>
  <si>
    <t>A2/1/10/887</t>
  </si>
  <si>
    <t>P-417/2010</t>
  </si>
  <si>
    <t>A2/1/11/131</t>
  </si>
  <si>
    <t>P-54/2011</t>
  </si>
  <si>
    <t>A2/1/11/282</t>
  </si>
  <si>
    <t>P-151/2011</t>
  </si>
  <si>
    <t>A2/1/11/450</t>
  </si>
  <si>
    <t>P-285/2011</t>
  </si>
  <si>
    <t>A2/1/11/451</t>
  </si>
  <si>
    <t>P-286/2011</t>
  </si>
  <si>
    <t>A2/1/11/524</t>
  </si>
  <si>
    <t>P-331/2011</t>
  </si>
  <si>
    <t>A2/1/12/394</t>
  </si>
  <si>
    <t>P-255/2012</t>
  </si>
  <si>
    <t>A2/1/12/451</t>
  </si>
  <si>
    <t>P-309/2012</t>
  </si>
  <si>
    <t>A2/1/13/415</t>
  </si>
  <si>
    <t>P-294/2013</t>
  </si>
  <si>
    <t>A2/1/13/417</t>
  </si>
  <si>
    <t>P-292/2013</t>
  </si>
  <si>
    <t>A2/1/13/418</t>
  </si>
  <si>
    <t>P-291/2013</t>
  </si>
  <si>
    <t>A2/1/13/416</t>
  </si>
  <si>
    <t>P-293/2013</t>
  </si>
  <si>
    <t>A2/1/14/80</t>
  </si>
  <si>
    <t>P-48/2014</t>
  </si>
  <si>
    <t>A2/1/14/230</t>
  </si>
  <si>
    <t>P-130/2014</t>
  </si>
  <si>
    <t>A2/1/14/565</t>
  </si>
  <si>
    <t>P-381/2014</t>
  </si>
  <si>
    <t>A2/1/15/143</t>
  </si>
  <si>
    <t>P-86/2015</t>
  </si>
  <si>
    <t>A2/1/15/179</t>
  </si>
  <si>
    <t>P-114/2015</t>
  </si>
  <si>
    <t>A2/1/15/249</t>
  </si>
  <si>
    <t>P-164/2015</t>
  </si>
  <si>
    <t>A2/1/15/356</t>
  </si>
  <si>
    <t>P-229/2015</t>
  </si>
  <si>
    <t>A2/1/15/385</t>
  </si>
  <si>
    <t>P-237/2015</t>
  </si>
  <si>
    <t>A2/1/15/442</t>
  </si>
  <si>
    <t>P-298/2015</t>
  </si>
  <si>
    <t>A2/1/15/503</t>
  </si>
  <si>
    <t>P-346/2015</t>
  </si>
  <si>
    <t>A2/1/15/504</t>
  </si>
  <si>
    <t>P-347/2015</t>
  </si>
  <si>
    <t>A2/1/16/16</t>
  </si>
  <si>
    <t>P-8/2016</t>
  </si>
  <si>
    <t>A2/1/16/144</t>
  </si>
  <si>
    <t>P-72/2016</t>
  </si>
  <si>
    <t>A2/1/16/288</t>
  </si>
  <si>
    <t>P-196/2016</t>
  </si>
  <si>
    <t>A2/1/16/307</t>
  </si>
  <si>
    <t>P-212/2016</t>
  </si>
  <si>
    <t>A2/1/16/355</t>
  </si>
  <si>
    <t>P-255/2016</t>
  </si>
  <si>
    <t>A2/1/17/60</t>
  </si>
  <si>
    <t>P-10/2017</t>
  </si>
  <si>
    <t>A2/1/17/196</t>
  </si>
  <si>
    <t>P-115/2017</t>
  </si>
  <si>
    <t>A2/1/17/442</t>
  </si>
  <si>
    <t>P-323/2017</t>
  </si>
  <si>
    <t>A2/1/17/444</t>
  </si>
  <si>
    <t>P-321/2017</t>
  </si>
  <si>
    <t>A2/1/17/463</t>
  </si>
  <si>
    <t>P-326/2017</t>
  </si>
  <si>
    <t>A2/1/17/464</t>
  </si>
  <si>
    <t>P-327/2017</t>
  </si>
  <si>
    <t>A2/1/17/469</t>
  </si>
  <si>
    <t>P-334/2017</t>
  </si>
  <si>
    <t>A2/1/17/612</t>
  </si>
  <si>
    <t>P-466/2017</t>
  </si>
  <si>
    <t>A2/1/17/611</t>
  </si>
  <si>
    <t>P-467/2017</t>
  </si>
  <si>
    <t>A2/1/17/868</t>
  </si>
  <si>
    <t>P-657/2017</t>
  </si>
  <si>
    <t>A2/1/18/28</t>
  </si>
  <si>
    <t>P-12/2018</t>
  </si>
  <si>
    <t>A2/1/18/80</t>
  </si>
  <si>
    <t>P-63/2018</t>
  </si>
  <si>
    <t>A2/1/18/235</t>
  </si>
  <si>
    <t>P-188/2018</t>
  </si>
  <si>
    <t>A2/1/18/291</t>
  </si>
  <si>
    <t>P-227/2018</t>
  </si>
  <si>
    <t>A2/1/18/302</t>
  </si>
  <si>
    <t>P-261/2018</t>
  </si>
  <si>
    <t>A2/1/18/348</t>
  </si>
  <si>
    <t>P-290/2018</t>
  </si>
  <si>
    <t>A2/1/18/430</t>
  </si>
  <si>
    <t>P-365/2018</t>
  </si>
  <si>
    <t>A2/1/18/429</t>
  </si>
  <si>
    <t>P-366/2018</t>
  </si>
  <si>
    <t>A2/1/18/479</t>
  </si>
  <si>
    <t>P-397/2018</t>
  </si>
  <si>
    <t>A2/1/18/671</t>
  </si>
  <si>
    <t>P-565/2018</t>
  </si>
  <si>
    <t>A2/1/18/670</t>
  </si>
  <si>
    <t>P-564/2018</t>
  </si>
  <si>
    <t>A2/1/18/673</t>
  </si>
  <si>
    <t>P-566/2018</t>
  </si>
  <si>
    <t>A2/1/18/791</t>
  </si>
  <si>
    <t>P-651/2018</t>
  </si>
  <si>
    <t>A2/1/18/830</t>
  </si>
  <si>
    <t>P-687/2018</t>
  </si>
  <si>
    <t>A2/1/18/824</t>
  </si>
  <si>
    <t>P-689/2018</t>
  </si>
  <si>
    <t>A2/1/18/842</t>
  </si>
  <si>
    <t>P-703/2018</t>
  </si>
  <si>
    <t>A2/1/18/866</t>
  </si>
  <si>
    <t>P-715/2018</t>
  </si>
  <si>
    <t>A2/1/19/157</t>
  </si>
  <si>
    <t>P-110/2019</t>
  </si>
  <si>
    <t>A2/1/19/206</t>
  </si>
  <si>
    <t>P-137/2019</t>
  </si>
  <si>
    <t>A2/1/19/208</t>
  </si>
  <si>
    <t>P-125/2019</t>
  </si>
  <si>
    <t>A2/1/19/207</t>
  </si>
  <si>
    <t>P-126/2019</t>
  </si>
  <si>
    <t>A2/1/19/219</t>
  </si>
  <si>
    <t>P-149/2019</t>
  </si>
  <si>
    <t>A2/1/19/250</t>
  </si>
  <si>
    <t>P-166/2019</t>
  </si>
  <si>
    <t>A2/1/19/305</t>
  </si>
  <si>
    <t>P-201/2019</t>
  </si>
  <si>
    <t>A2/1/20/66</t>
  </si>
  <si>
    <t>P-52/2020</t>
  </si>
  <si>
    <t>A2/1/20/67</t>
  </si>
  <si>
    <t>P-51/2020</t>
  </si>
  <si>
    <t>A2/1/20/125</t>
  </si>
  <si>
    <t>P-95/2020</t>
  </si>
  <si>
    <t>A2/1/20/154</t>
  </si>
  <si>
    <t>P-116/2020</t>
  </si>
  <si>
    <t>A2/1/20/374</t>
  </si>
  <si>
    <t>P-166/2020</t>
  </si>
  <si>
    <t>A2/1/20/486</t>
  </si>
  <si>
    <t>P-218/2020</t>
  </si>
  <si>
    <t>A2/1/20/485</t>
  </si>
  <si>
    <t>P-219/2020</t>
  </si>
  <si>
    <t>A2/1/20/607</t>
  </si>
  <si>
    <t>P-272/2020</t>
  </si>
  <si>
    <t>A2/1/20/652</t>
  </si>
  <si>
    <t>P-319/2020</t>
  </si>
  <si>
    <t>A2/1/20/665</t>
  </si>
  <si>
    <t>P-320/2020</t>
  </si>
  <si>
    <t>A2/1/20/684</t>
  </si>
  <si>
    <t>P-341/2020</t>
  </si>
  <si>
    <t>A2/1/20/760</t>
  </si>
  <si>
    <t>P-377/2020</t>
  </si>
  <si>
    <t>A2/1/20/761</t>
  </si>
  <si>
    <t>P-394/2020</t>
  </si>
  <si>
    <t>A2/1/20/778</t>
  </si>
  <si>
    <t>P-418/2020</t>
  </si>
  <si>
    <t>A2/1/20/869</t>
  </si>
  <si>
    <t>P-476/2020</t>
  </si>
  <si>
    <t>A2/1/20/880</t>
  </si>
  <si>
    <t>P-489/2020</t>
  </si>
  <si>
    <t>A2/1/20/896</t>
  </si>
  <si>
    <t>P-504/2020</t>
  </si>
  <si>
    <t>A2/1/21/102</t>
  </si>
  <si>
    <t>PP-7/2021</t>
  </si>
  <si>
    <t>A2/1/21/123</t>
  </si>
  <si>
    <t>PP-10/2021</t>
  </si>
  <si>
    <t>A2/1/21/122</t>
  </si>
  <si>
    <t>PP-12/2021</t>
  </si>
  <si>
    <t>A2/1/21/176</t>
  </si>
  <si>
    <t>P-100/2021</t>
  </si>
  <si>
    <t>A2/1/21/284</t>
  </si>
  <si>
    <t>P-193/2021</t>
  </si>
  <si>
    <t>A2/1/21/317</t>
  </si>
  <si>
    <t>P-222/2021</t>
  </si>
  <si>
    <t>A2/1/21/318</t>
  </si>
  <si>
    <t>P-221/2021</t>
  </si>
  <si>
    <t>A2/1/21/320</t>
  </si>
  <si>
    <t>P-205/2021</t>
  </si>
  <si>
    <t>A2/1/21/367</t>
  </si>
  <si>
    <t>P-260/2021</t>
  </si>
  <si>
    <t>A2/1/21/411</t>
  </si>
  <si>
    <t>P-257/2021</t>
  </si>
  <si>
    <t>A2/1/21/413</t>
  </si>
  <si>
    <t>P-291/2021</t>
  </si>
  <si>
    <t>A2/1/21/445</t>
  </si>
  <si>
    <t>P-314/2021</t>
  </si>
  <si>
    <t>A2/1/21/446</t>
  </si>
  <si>
    <t>P-312/2021</t>
  </si>
  <si>
    <t>A2/1/21/447</t>
  </si>
  <si>
    <t>P-311/2021</t>
  </si>
  <si>
    <t>A2/1/21/460</t>
  </si>
  <si>
    <t>P-313/2021</t>
  </si>
  <si>
    <t>A2/1/21/524</t>
  </si>
  <si>
    <t>P-389/2021</t>
  </si>
  <si>
    <t>A2/1/21/686</t>
  </si>
  <si>
    <t>P-511/2021</t>
  </si>
  <si>
    <t>A2/1/21/685</t>
  </si>
  <si>
    <t>P-512/2021</t>
  </si>
  <si>
    <t>A2/1/21/684</t>
  </si>
  <si>
    <t>P-513/2021</t>
  </si>
  <si>
    <t>A2/1/21/693</t>
  </si>
  <si>
    <t>P-510/2021</t>
  </si>
  <si>
    <t>A2/1/21/731</t>
  </si>
  <si>
    <t>P-562/2021</t>
  </si>
  <si>
    <t>A2/1/21/783</t>
  </si>
  <si>
    <t>P-584/2021</t>
  </si>
  <si>
    <t>A2/1/22/233</t>
  </si>
  <si>
    <t>P-158/2022</t>
  </si>
  <si>
    <t>A2/1/22/234</t>
  </si>
  <si>
    <t>P-157/2022</t>
  </si>
  <si>
    <t>A2/1/22/235</t>
  </si>
  <si>
    <t>P-156/2022</t>
  </si>
  <si>
    <t>A2/1/22/236</t>
  </si>
  <si>
    <t>P-155/2022</t>
  </si>
  <si>
    <t>A2/1/22/237</t>
  </si>
  <si>
    <t>P-154/2022</t>
  </si>
  <si>
    <t>A2/1/22/238</t>
  </si>
  <si>
    <t>P-153/2022</t>
  </si>
  <si>
    <t>A2/1/22/402</t>
  </si>
  <si>
    <t>P-277/2022</t>
  </si>
  <si>
    <t>A2/1/22/483</t>
  </si>
  <si>
    <t>P-332/2022</t>
  </si>
  <si>
    <t>A2/1/22/482</t>
  </si>
  <si>
    <t>P-333/2022</t>
  </si>
  <si>
    <t>A2/1/05/248</t>
  </si>
  <si>
    <t>P-94/2005</t>
  </si>
  <si>
    <t>A2/1/06/100</t>
  </si>
  <si>
    <t>P-57/2006</t>
  </si>
  <si>
    <t>A2/1/16/409</t>
  </si>
  <si>
    <t>P-299/2016</t>
  </si>
  <si>
    <t>A2/1/17/867</t>
  </si>
  <si>
    <t>P-658/2017</t>
  </si>
  <si>
    <t>A2/1/20/511</t>
  </si>
  <si>
    <t>P-225/2020</t>
  </si>
  <si>
    <t>2029-2048</t>
  </si>
  <si>
    <t>P-73/2020</t>
  </si>
  <si>
    <t>P-188/2010</t>
  </si>
  <si>
    <t>P-29/2007</t>
  </si>
  <si>
    <t>P-78/2007</t>
  </si>
  <si>
    <t>P-127/2014</t>
  </si>
  <si>
    <t>P-73/2015</t>
  </si>
  <si>
    <t>P-174/2005</t>
  </si>
  <si>
    <t>P--567/2021</t>
  </si>
  <si>
    <t>P-364/2019</t>
  </si>
  <si>
    <t>P-116/2020 ERAF Pakalpojumu infrastruktūras attīstība deinstitucionalizācijas plāna īstenošanai Amatas novada Spārē</t>
  </si>
  <si>
    <t>17.04.2020</t>
  </si>
  <si>
    <t>P-125/2019 ERAF Energoefektivitātes paaugstināšana ANP ēkā - Drabešu sākumskolā (Drabešu Jaunajā pamatskolā)</t>
  </si>
  <si>
    <t>05.06.2019</t>
  </si>
  <si>
    <t>P-126/2019 ERAF Kultūra, vēsture, arhitektūra Gaujas un laika lokos</t>
  </si>
  <si>
    <t>P-73/2020 ELFLA Pašvaldības grants ceļa Ķēči-Siši pārbūve</t>
  </si>
  <si>
    <t>25.03.2020</t>
  </si>
  <si>
    <t>P-221/2021 COVID VARAM Amatas novada pašvaldības autoceļu atjaunošana</t>
  </si>
  <si>
    <t>21.06.2021</t>
  </si>
  <si>
    <t>P-222/2021 PRIO Amatas novada pašvaldības Drabešu ciema grants ceļu (Drabeši - Lāčkalni, Drabeši -Vējdzirnavas) posmu pārbūve un atjaunošana</t>
  </si>
  <si>
    <t>P-418/2020 IP Satiksmes drošības uzlabošana Līvu cioemā, Drabešu pagastā, Amatas novadā</t>
  </si>
  <si>
    <t>28.10.2020</t>
  </si>
  <si>
    <t>P-63/2018 Telpu grupas vienkāršota atjaunošana Amatas novada Drabešu Jaunajā pamatskolā</t>
  </si>
  <si>
    <t>07.03.2018</t>
  </si>
  <si>
    <t>PP-7/2021 Investīciju projektu īstenošanai (saistību pārjaunojums)</t>
  </si>
  <si>
    <t>29.03.2021</t>
  </si>
  <si>
    <t>P-151/2011 ERAF pr."Cēsu pilsētas maģistrālo ielu rekonstrukcija"</t>
  </si>
  <si>
    <t>10.06.2011</t>
  </si>
  <si>
    <t>P-188/2010 ERAF pr."Cēsu pilsmuižas parka atjaun.tūrisma att."</t>
  </si>
  <si>
    <t>02.07.2010</t>
  </si>
  <si>
    <t xml:space="preserve">P-255/2012 " Cēsu pilsētas maģistrālo ielu rekostrukcija, 2.kārta" </t>
  </si>
  <si>
    <t>31.07.2012</t>
  </si>
  <si>
    <t>P-291/2013-ERAF pr."Daudzf.centra"Vidzemes mūzikas  un kult.centrs" izveide" īstenošanai</t>
  </si>
  <si>
    <t>16.08.2013</t>
  </si>
  <si>
    <t>P-29/2007 ERAF pr."Cēsu pils kompleksa revitalizācija tūrisma attīstībai" īstenošanai</t>
  </si>
  <si>
    <t>01.03.2007</t>
  </si>
  <si>
    <t>P-292/2013-ERAF pr."Daudzf.centra "Vidzemes mūzikas un kult.centrs" izveide" īstenošanai</t>
  </si>
  <si>
    <t>P-294/2013 ERAF pr."'Cēsu centrālās bibliotēkas ēkas renovāc.un pieej.nodrošin." īstenošanai</t>
  </si>
  <si>
    <t>P-318/2007 ERAF pr."Cēsu pils kompleksa revitalizācija tūrisma attīstībai"īstenošana</t>
  </si>
  <si>
    <t>01.10.2007</t>
  </si>
  <si>
    <t>P-331/2011 ERAF pr."Satiksmes drošības uzlaboj.pie 3.PII"</t>
  </si>
  <si>
    <t>08.09.2011</t>
  </si>
  <si>
    <t>P-417/2010 ERAF pr."Cēsu pilsētas tranzītielas-Pētera i.rekonstrukcija"</t>
  </si>
  <si>
    <t>22.10.2010</t>
  </si>
  <si>
    <t>P-50/2010-ERAf pr."Cēsu pils.PII renovācija"</t>
  </si>
  <si>
    <t>01.04.2010</t>
  </si>
  <si>
    <t xml:space="preserve">P-54/2011 ERAF pr."Cēsu pilsētas pirmsskolas izglītības iestāžu renovācijas 2.kārta" </t>
  </si>
  <si>
    <t>20.04.2011</t>
  </si>
  <si>
    <t>P-78/2007 ERAF pr."Cēsu izglītības iestāžu energoefektivitātes paaugstināšana"</t>
  </si>
  <si>
    <t>07.05.2007</t>
  </si>
  <si>
    <t>P-100/2021 Latvijas-Krievijas pārrobežu sadarbības programmas proj."Ilgtsp.zaļās infrastruktūras un atraktīvās atpūtas zonas attīstība dabā" investīciju daļas īstenošanai</t>
  </si>
  <si>
    <t>05.05.2021</t>
  </si>
  <si>
    <t>P-10/2017-pr."Dzīvojamās mājas atjaunošana, piemērojot dienesta viesnīcai,Saules ielā 23, Cēsīs, Cēsu novadā"</t>
  </si>
  <si>
    <t>01.02.2017</t>
  </si>
  <si>
    <t>P-12/2018-pr."Līvu sākumskolas  siltumapgādes sistēmas izbūve" īstenošanai</t>
  </si>
  <si>
    <t>31.01.2018</t>
  </si>
  <si>
    <t>P-127/2014-Prior.investīciju pr."Daudzf.centra "Vidzemes mūzikas un kult.centrs"izveide"īstenošanai"</t>
  </si>
  <si>
    <t>11.04.2014</t>
  </si>
  <si>
    <t>P-196/2016 pr.Raiņa un Piebalgas ielas krustojuma rekonstrukcija, izbūvējot rotācijas apli Cēsīs, Cēsu novadā</t>
  </si>
  <si>
    <t>26.07.2016</t>
  </si>
  <si>
    <t>P-201/2019 ERAF pr."Cēsu novada visp.izglītības iestāžu modernizācija"īstenošanai</t>
  </si>
  <si>
    <t>30.08.2019</t>
  </si>
  <si>
    <t>P-205/2021 Ieguldījumam pašvaldības SIA "Cēsu klīnika"pamatkapitālā ERAF projekta (Nr.4.2.2.0/20/I/005) "Cēsu klīnikas diagnostikas korpusa energoef.uzlabošana" īstenošanai</t>
  </si>
  <si>
    <t>22.06.2021</t>
  </si>
  <si>
    <t>P-229/2015 pr."Cēsu pils.pamatksolas-ēkas telpu vienk.atjaunošana,L.Paegles ielā 1, Cēsīs, Cēsu novadā" īstenošanai</t>
  </si>
  <si>
    <t>09.07.2015</t>
  </si>
  <si>
    <t>P-237/2015 pr."Raiņa i.posma jaunbūves,Noliktavas,Dzintara i. un Uzvaras bulv.krustojuma rekonstrukcijas ielām pieguļ.laukuma labiek.,Cēsīs, Cēsu nov." īstenošanai</t>
  </si>
  <si>
    <t>20.07.2015</t>
  </si>
  <si>
    <t>P-261/2018-ERAF pr."Degradēto teritoriju revitalizācija Cēsu novadā 3.kārta"īstenošanai</t>
  </si>
  <si>
    <t>01.06.2018</t>
  </si>
  <si>
    <t>P-272/2020 ERAF pr."Uzņēmējdarbības attīstību veicinošas vides attīst.Viestura ielā" īstenošanai</t>
  </si>
  <si>
    <t>31.08.2020</t>
  </si>
  <si>
    <t>P-293/2013-Cēsu pilsētas tranzītielas-Gaujas ielas-rekonstrukcija</t>
  </si>
  <si>
    <t>P-320/2020 projekta "Ielu seguma atjaunošana" īstenošanai</t>
  </si>
  <si>
    <t>17.09.2020</t>
  </si>
  <si>
    <t>P-321/2017-Degradēto teritoriju revitalizācija Cēsu novadā 1.kārta</t>
  </si>
  <si>
    <t>29.06.2017</t>
  </si>
  <si>
    <t>P-323/2017-Rīgas ielas posma rekontsrukc.uzņmējd.vides uzlabošanai, Cēsīs</t>
  </si>
  <si>
    <t>P-377/2020 projekta "Apvienotā gājēju un velosipēdistu ceļa jaunbūve Rīgas i.posmā no A.Kronvalda līdz Pētera ielai un Bērzaines ielas atjaunošana posmā no E.Dārziņa ielas līdz Gaujas ielai, Cēsīs, Cēsu novadā" īstenošanai</t>
  </si>
  <si>
    <t>16.10.2020</t>
  </si>
  <si>
    <t>P-397/2018-Aizs.infrastruktūras att.proj,"Daudzstāvu daudzdzīv. dzīv.ēkas-nep.jaunbūves A.Kronvalda ielā 56, Cēsīs pārbūve"īstenošanai</t>
  </si>
  <si>
    <t>25.07.2018</t>
  </si>
  <si>
    <t>P-466/2017-pr."Līvu pamatskolas centrālapkures izbūve"īstenošanai</t>
  </si>
  <si>
    <t>25.08.2017</t>
  </si>
  <si>
    <t>P-467/2017-pr."Cēsu pilsētas stadiona rekonstrukcija"īstenošanai</t>
  </si>
  <si>
    <t>P-476/2020 projekta "Vilku ielas pārbūve posmā no Vilku ielas 5 līdz Saules ielai, Cēsīs, Cēsu novadā" īstenošanai</t>
  </si>
  <si>
    <t>09.12.2020</t>
  </si>
  <si>
    <t>P-48/2014-ERAF pr."Cēsu Profesionālās vidusskolas kompleksa attīstība" īstenošanai</t>
  </si>
  <si>
    <t>28.02.2014</t>
  </si>
  <si>
    <t>P-489/2020 ERAF projekta(Nr.9.3.1.1/18/I/006)"Daudzfunkcionālais sociālo pakalpojumu centrs "Cēsis"" īstenošanai</t>
  </si>
  <si>
    <t>11.12.2020</t>
  </si>
  <si>
    <t>P-51/2020 ELFLA pr."Cēsu novada pašvaldības grants ceļa A4 Akmenskrogs-Veismaņi-Vaives pag.robeža pārbūve"īstenošanai</t>
  </si>
  <si>
    <t>11.03.2020</t>
  </si>
  <si>
    <t>P-52/2020 ERAF pr."Degradēto teritoriju revitalizācija Cēsu novadā II kārta" īstenošanai</t>
  </si>
  <si>
    <t>P-651/2018-Valsts nozīmes sporta infrastruktūras attīst.projekta "Cēsu pils.stadiona rekonstrukcija"īstenošanai</t>
  </si>
  <si>
    <t>14.11.2018</t>
  </si>
  <si>
    <t>P-657/2017-ERAF pr.Nr.5.5.1.0/17/I/004"Kultūra,vēsture,arhitektūra Gaujas un laiku lokos"'</t>
  </si>
  <si>
    <t>05.12.2017</t>
  </si>
  <si>
    <t>P-658/2017-pr."Cēsu pils.Pastariņa sākumskolas ēkas atjaunošana par zema enerģijas patēriņa  ēku,Raunas 7, Cēsīs"</t>
  </si>
  <si>
    <t>P-73/2015 ERAF pr."Cēsu profesion.vsk.kompleksa attīstība" īstenošanai</t>
  </si>
  <si>
    <t>18.03.2015</t>
  </si>
  <si>
    <t>P-118/2008 Jaunas pirmsskolas izglīt.iestādes būvniecības līdzfinansējuma nodrošināšana</t>
  </si>
  <si>
    <t>25.04.2008</t>
  </si>
  <si>
    <t>P-134/2008-Cēsu pilsētas ielu rekonstrukcijai</t>
  </si>
  <si>
    <t>07.05.2008</t>
  </si>
  <si>
    <t>P-151/2007 Sociālās daudzdzīvokļu dzīvojamās mājas būvniecības pabeigšanai</t>
  </si>
  <si>
    <t>01.06.2007</t>
  </si>
  <si>
    <t>P-174/2005 Cēsu pilsētas ielu seguma remontam</t>
  </si>
  <si>
    <t>13.10.2005</t>
  </si>
  <si>
    <t>P-218/2008 Sporta laukuma rekonstrukcijai</t>
  </si>
  <si>
    <t>19.06.2008</t>
  </si>
  <si>
    <t>P-312/2007 Cēsu pilsētas ielu rekonstrukcijai</t>
  </si>
  <si>
    <t>P-366/2009 Valsts budžeta līdzfinans.   inv.pr."Jaunas pirmsskolas izglīt.iest.būvniecība Cēsīs"</t>
  </si>
  <si>
    <t>10.12.2009</t>
  </si>
  <si>
    <t>P-57/2006 Pilsētas ielu segums, lietus ūdens kanalizācijas, apgaismojuma rekonstrukcija</t>
  </si>
  <si>
    <t>16.03.2006</t>
  </si>
  <si>
    <t>P-94/2005-Cēsu pilsētas pašvaldības iestāžu remonts</t>
  </si>
  <si>
    <t>15.06.2005</t>
  </si>
  <si>
    <t>Enerģētiski pašpietiekamas ēkas būvniecība Cēsīs, nākotnes tehnoloģiju zinātnes centra vajadzībām (Cēsis)</t>
  </si>
  <si>
    <t>30.07.2021</t>
  </si>
  <si>
    <t>Cēsu novada vispārējās izglītības iestāžu modernizācija</t>
  </si>
  <si>
    <t>30.07.2021.</t>
  </si>
  <si>
    <t>Ielu seguma atjaunošana Cēsīs</t>
  </si>
  <si>
    <t>Grants seguma ielu virsmu divkārtu apstrāde un ietvju izbūve un atjaunošana (Cēsis)</t>
  </si>
  <si>
    <t>02.11.2021.</t>
  </si>
  <si>
    <t>Cēsu pilsētas 1. pirmsskolas izglītības iestādes teritorijas labiekārtošanas darbi</t>
  </si>
  <si>
    <t>02.12.2021.</t>
  </si>
  <si>
    <t>ERAF projekta "Daudzfunkcionālais sociālo pakalpojumu centrs "Cēsis" realizācijai"</t>
  </si>
  <si>
    <t>14.12.2021</t>
  </si>
  <si>
    <t>Vidusskolas sporta zāles celtniecība</t>
  </si>
  <si>
    <t>01.06.2006</t>
  </si>
  <si>
    <t>21.06.2007</t>
  </si>
  <si>
    <t>Ūdenssaimniecības projekta 1. kārta</t>
  </si>
  <si>
    <t>20.10.2008</t>
  </si>
  <si>
    <t>Jaunpiebalgas mākslas skolas rekonstrukcija</t>
  </si>
  <si>
    <t>29.01.2016</t>
  </si>
  <si>
    <t>Gājēju ceļa pārbūve</t>
  </si>
  <si>
    <t>06.07.2017</t>
  </si>
  <si>
    <t>Infrastruktūras un komunikāciju sakārtošanai Jaunpiebalgā</t>
  </si>
  <si>
    <t>31.05.2018</t>
  </si>
  <si>
    <t>Skatu torņa būvniecība</t>
  </si>
  <si>
    <t>03.10.2018</t>
  </si>
  <si>
    <t>Siltummezglu, siltumtrases un kanalizācijas tīklu izbūve</t>
  </si>
  <si>
    <t>Sporta un atpūtas laukuma izveidošana</t>
  </si>
  <si>
    <t>04.10.2018</t>
  </si>
  <si>
    <t>Autoceļa Kalna Pentuļi-Meža Naukšēni pārbūve</t>
  </si>
  <si>
    <t>15.09.2020</t>
  </si>
  <si>
    <t>C-19 Piebalgas pamatskolas ēkas pārbūve par sociālās aprūpes centru, Jaunpiebalgas pagasts, Jaunpiebalgas novads</t>
  </si>
  <si>
    <t>23.12.2021.</t>
  </si>
  <si>
    <t>ELFLA projekta "Līgatnes pamatskolas sporta zāles celtniecība" īstenošanai P-3/2010</t>
  </si>
  <si>
    <t>12.02.2010</t>
  </si>
  <si>
    <t>ELFLA projekta "Līgatnes pamatskolas sporta zāles celtniecība" īstenošanai P-79/2009</t>
  </si>
  <si>
    <t>29.05.2009</t>
  </si>
  <si>
    <t>ERAF projekta "Līgatnes papīrfabrikas ciemata kultūrvēsturiskās tūrisma takas izveide" īstenošanai P-292/2010</t>
  </si>
  <si>
    <t>26.08.2010</t>
  </si>
  <si>
    <t>Kohēzijas fonda projekta "Ūdenssaimniecības pakalpojumu attīstība Līgatnē" īstenošanai P-212/2010</t>
  </si>
  <si>
    <t>12.07.2010</t>
  </si>
  <si>
    <t>Kohēzijas fonda projekta "Ūdenssaimniecības pakalpojumu attīstība Līgatnē" P-285-/2011</t>
  </si>
  <si>
    <t>11.08.2011</t>
  </si>
  <si>
    <t>ERAF projekta ''Uzņēmējdarbības vides sakārtošana Augšlīgatnē'' īstenošanai P-687/2018</t>
  </si>
  <si>
    <t>26.11.2018</t>
  </si>
  <si>
    <t>KPFI projekta Nr.KPFI-13.3/27 "Pašvaldības publisko teritoriju apgaismojuma infrastruktūras uzlabošana Līgatnē un Augšlīgatnē'' īstenošanai P-164/2015</t>
  </si>
  <si>
    <t>20.05.2015</t>
  </si>
  <si>
    <t>KPFI projekta (Nr.KPFI-15.4/31) "Kompleki risinājumi siltumnīcefekta gāzu emisijas samazināšanai Līgatnes pagasta kultūras namā" P-114/2015</t>
  </si>
  <si>
    <t>22.04.2015</t>
  </si>
  <si>
    <t>Projekta "Siltumtrases nomaiņa Augšlīgatnes ciemā" īstenošanai-ārkārtas situācijas novēršanai P-286/2011</t>
  </si>
  <si>
    <t>Līgatnes Mūzikas un mākalsas skolas fasādes un iekštelpu atjaunošana    P-689/2018</t>
  </si>
  <si>
    <t>23.11.2018</t>
  </si>
  <si>
    <t>Līgatnes novada vidusskolas telpu un sporta zāles remonts P-387/2017</t>
  </si>
  <si>
    <t>28.07.2017</t>
  </si>
  <si>
    <t>Prioritārā investīciju projekta "Kanalizācijas tīklu rekonstrukcija Līgatnes pilsētā" P-86/2015</t>
  </si>
  <si>
    <t>10.04.2015</t>
  </si>
  <si>
    <t>Prioritārā investīciju projekta Maģistrālā ūdensvada remontdarbiLīgatnes pilsētā īstenošanai P-255/2016</t>
  </si>
  <si>
    <t>02.09.2016</t>
  </si>
  <si>
    <t>Projekta Ielu seguma atjaunošana dažādos posmos Līgatnes novadā īstenošanai     P-212/2016</t>
  </si>
  <si>
    <t>09.08.2016</t>
  </si>
  <si>
    <t>Projekta Līgatnes novada pamatskolas un tās palīgēkas remontdarbi īstenošanai P-298/2015</t>
  </si>
  <si>
    <t>06.08.2015</t>
  </si>
  <si>
    <t>Projektam ''Ķempju ielas pārbūves 1. kārta'' P-166/2019</t>
  </si>
  <si>
    <t>04.07.2019</t>
  </si>
  <si>
    <t>Projekta Skolas ielas pārbūve īstenošanai P-341/2020</t>
  </si>
  <si>
    <t>01.10.2020</t>
  </si>
  <si>
    <t>Prioritārā investīciju projekta "Fasādes atjaunošana un energoefektivitātes paaugstināšana valsts kultūras piemineklim - PII ēkai Gaujas ielā 7, Līgatnē, Līgatnes novadā" īstenošanai P-260/2021</t>
  </si>
  <si>
    <t>06.07.2021.</t>
  </si>
  <si>
    <t>Gaujas ielas pārbūve Līgatnē, Cēsu novadā</t>
  </si>
  <si>
    <t>04.11.2021.</t>
  </si>
  <si>
    <t>Rozulas ciema ūdensaimniecības attīstībai</t>
  </si>
  <si>
    <t>23.08.2012</t>
  </si>
  <si>
    <t>Darbnīcas ēkas pārbūve par interešu centru</t>
  </si>
  <si>
    <t>27.05.2016</t>
  </si>
  <si>
    <t>Siltumtrases, katlu māja - Straupes pamatskola, rekonstrukcija</t>
  </si>
  <si>
    <t>20.08.2015</t>
  </si>
  <si>
    <t>Stalbes vidusskolas ēkas energoefektivitātes paaugstināšana</t>
  </si>
  <si>
    <t>10.04.2014</t>
  </si>
  <si>
    <t>Straupes centra publiskāsteritorijas labiekārtošana un vieglo automašīnu stāvlaukuma izbūve pie Straupes pamatskolas</t>
  </si>
  <si>
    <t>Straupes pamatskolas fasādes vienkāršota renovācija un lietus ūdeņa drenāžas izbūve</t>
  </si>
  <si>
    <t>20.08.2014</t>
  </si>
  <si>
    <t>Automašīnas iegāde</t>
  </si>
  <si>
    <t>30.09.2016</t>
  </si>
  <si>
    <t>ERAF projekta "Kultūra, vēsture, arhitektūra Gaujas un laika lokos" īstenošana</t>
  </si>
  <si>
    <t>10.06.2019</t>
  </si>
  <si>
    <t>Grants ceļa "Mazaiskrogs -Irbēni"pārbūvei</t>
  </si>
  <si>
    <t>21.06.2018</t>
  </si>
  <si>
    <t>Pārgaujas novada pašvaldības grants ceļu pārbūvei</t>
  </si>
  <si>
    <t>16.05.2018</t>
  </si>
  <si>
    <t>Raiskuma pamatskolas iekšējo inženiertīklu rekonstrukcija</t>
  </si>
  <si>
    <t>12.04.2017</t>
  </si>
  <si>
    <t>Stalbes pamatskolas sporta stadiona skrejceļa pārbūve</t>
  </si>
  <si>
    <t>08.06.2021</t>
  </si>
  <si>
    <t>Stalbes vidusskolas struktūrvienības Raiskuma pamatskolas ēkas energoefektivitātes palielināšana - ēkas fasādes un jumta atjaunošana</t>
  </si>
  <si>
    <t>05.07.2018</t>
  </si>
  <si>
    <t>Straupes ciema ūdenstorņa atjaunošana</t>
  </si>
  <si>
    <t>Straupes sporta zāles pārbūve</t>
  </si>
  <si>
    <t>03.07.2017</t>
  </si>
  <si>
    <t>Šķūņa rekonstrukcijas projekts</t>
  </si>
  <si>
    <t>Pārgaujas novada pašvaldības autoceļu atjaunošana</t>
  </si>
  <si>
    <t>08.09.2021</t>
  </si>
  <si>
    <t>Mārsnēnu pamatskolas pirmskolas grupu telpu ēkas rekonstrukcija</t>
  </si>
  <si>
    <t>Ārējo siltumtīklu, ūdens un kanalizācijas sistēmas rekonstrukcija nekustamā īpašumā "Gaismas"</t>
  </si>
  <si>
    <t>Pašvaldības transporta infrastruktūras (ielas) attīstībai</t>
  </si>
  <si>
    <t>Pāvila Rozīša ielas atjaunošana Priekuļu novada Liepas pagastā</t>
  </si>
  <si>
    <t>17.12.2020</t>
  </si>
  <si>
    <t>Informācijas un komunikācijas tehnoloģiju infrastruktūras pilnveide un e-pakalpojumu nodrošināšana (Priekuļi)</t>
  </si>
  <si>
    <t>16.07.2021.</t>
  </si>
  <si>
    <t>C-19 "Pašvaldības transporta infrastruktūras ( ielas) attīstībai (Priekuļi)</t>
  </si>
  <si>
    <t>04.08.2021.</t>
  </si>
  <si>
    <t>Alternatīvās dienas aprūpes centrs "Rudiņi" vienkāšotā rekonstrukcija</t>
  </si>
  <si>
    <t>01.10.2009</t>
  </si>
  <si>
    <t>Taurenes pagasta saieta nama vienkāšotā  rekonstrukcija</t>
  </si>
  <si>
    <t>24.09.2009</t>
  </si>
  <si>
    <t>Vecpiebalgas pagasta sporta zāles vienkāšotā rekonstrukcija</t>
  </si>
  <si>
    <t>21.12.2009</t>
  </si>
  <si>
    <t>ELFLA projekta "Pašvaldības ceļu B77 "Saulgoži-Brežģis" un B71 "Soseja-Laidzi" pārbūve īstenošanai</t>
  </si>
  <si>
    <t>27.11.2018</t>
  </si>
  <si>
    <t>ERAF projekta "Uzņēmējdarbības attīstībai nepieciešamās publiskās infrastrultūras attīstība Vecpiebalgas novada Inešu pagastā" īstenošanai</t>
  </si>
  <si>
    <t>29.11.2018</t>
  </si>
  <si>
    <t>ELFLA projekta "Pašvaldības ceļa B26 Jaunkabulēni-Celmi-Tožiņi pārbūve" īstenošanai</t>
  </si>
  <si>
    <t>17.05.2019</t>
  </si>
  <si>
    <t>ELFLA projekta "Peldvietas labiekārtošana pie Dabaru ezera" īstenošanai</t>
  </si>
  <si>
    <t>03.06.2019</t>
  </si>
  <si>
    <t>ELFLA projekta "Pašvaldības autoceļa B21 Stacija-Brodi-Kaupēni-Teikmaņi pārbūve" īstenošanai</t>
  </si>
  <si>
    <t>30.03.2020</t>
  </si>
  <si>
    <t>Bērnu rotaļu laukuma izveide Vecpiebalgā</t>
  </si>
  <si>
    <t>02.07.2020</t>
  </si>
  <si>
    <t>ELFLA projekta "Peldvietas labiekārtošana pie Kaives ezera" īstenošanai</t>
  </si>
  <si>
    <t>03.08.2020</t>
  </si>
  <si>
    <t>ELFLA projekta "Izstāžu taka Vecpiebalgas viesistabā" īstenošanai</t>
  </si>
  <si>
    <t>ELFLA projekta "Skatu platformas-ekspozīcijas izveidošana "Kalna Kaibēnos"" īstenošanai</t>
  </si>
  <si>
    <t>05.08.2020</t>
  </si>
  <si>
    <t>Saistību pārjaunojuma līgums</t>
  </si>
  <si>
    <t>08.04.2021.</t>
  </si>
  <si>
    <t xml:space="preserve">C-19 "Vecpiebalgas vidusskolas stadiona pārbūve" </t>
  </si>
  <si>
    <t>Alauksta ielas pārbūve (km0.545)"</t>
  </si>
  <si>
    <t>Vecpiebalgas vidusskolas infrastruktūras uzlabošana un materiāli tehniskās bāzes pilnveidošana"īstenošanai</t>
  </si>
  <si>
    <t>Jumpravas ielas atjaunošana Līgatnē, Cēsu novadā</t>
  </si>
  <si>
    <t>19.07.2022</t>
  </si>
  <si>
    <t>Energoefektivitātes paaugstināšana pašvaldības ēkā Rūpnīcas ielā 8, Liepā, Liepas pagastā</t>
  </si>
  <si>
    <t xml:space="preserve">Pašvaldības autoceļa Lieltītmaņi - Upesmuižnieki atjaunošana Līgatnes pagastā, Cēsu novadā </t>
  </si>
  <si>
    <t>Pašvaldības autoceļa Zaube-Jaungalžēni posma km 0,450-1,650 pārbūve, Zaubes pagasts, Cēsu novads</t>
  </si>
  <si>
    <t>Notekūdeņu attīrīšanas iekārtas (NAI) un sadzīves notekūdeņu tīklu izbūve Spārē, Amatas pagastā</t>
  </si>
  <si>
    <t>Vecpiebalgas vidusskolas pirmsskolas izglītības iestādes ēkas jumta nomaiņai</t>
  </si>
  <si>
    <t>Pašvaldības autoceļa Čaukas–Kūdums atjaunošana ar divkārtu virsmas apstrāde Raiskuma pagastā, Cēsu novadā</t>
  </si>
  <si>
    <t>27.09.2022.</t>
  </si>
  <si>
    <t>Divkārtu virsmas apstrāde Meldru, Pureņu, Viršu, Niedru, Mārtiņa, Ķiršu, Vārnu, Vālodzes, Ata Kronvalda un Kalnmuižas ielās Cēsīs</t>
  </si>
  <si>
    <t>04.11.2022.</t>
  </si>
  <si>
    <t>Siltumtīklu  izbūve no Br. Kaudzīšu ielas 3A līdz Gaujas ielai 25A un no Gaujas ielas 25A līdz Priežu ielai 8, Jaunpiebalgā, Jaunpiebalgas pagastā, Cēsu novadā</t>
  </si>
  <si>
    <t>2030-2048</t>
  </si>
  <si>
    <t>Kopā</t>
  </si>
  <si>
    <t>Cēsu novada pašvaldības pārskats par uzņemto un plānoto saistību apmēru uz 01.01.2023.</t>
  </si>
  <si>
    <t>Nr.p.k.</t>
  </si>
  <si>
    <t>Aizņēmuma līgums</t>
  </si>
  <si>
    <t>Trančes</t>
  </si>
  <si>
    <t>Mērķis</t>
  </si>
  <si>
    <t>Līguma noslēgšanas datums</t>
  </si>
  <si>
    <t>(euro)</t>
  </si>
  <si>
    <t>x</t>
  </si>
  <si>
    <t>PLĀNOTĀS SAISTĪBAS</t>
  </si>
  <si>
    <t>Investīciju projektu realizācijai</t>
  </si>
  <si>
    <t>Galvojumi</t>
  </si>
  <si>
    <t>Valsts kase</t>
  </si>
  <si>
    <t>Projekta ''Jauna ūdensvada un kanalizācijas izbūve Augšlīgatnē, Līgatnes pagastā, Līgatnes novadā'' īstenošanai</t>
  </si>
  <si>
    <t>15.12.2017</t>
  </si>
  <si>
    <t>K-17/2021</t>
  </si>
  <si>
    <t>A1/1/21/399-V/21/1</t>
  </si>
  <si>
    <t>Inženierkomunikācijas tīklu atjaunošana Līgatnē 2021.gadā</t>
  </si>
  <si>
    <t>12.07.2021.</t>
  </si>
  <si>
    <t>PAVISAM KOPĀ:</t>
  </si>
  <si>
    <t>KOPĀ:</t>
  </si>
  <si>
    <t>KOPĀ SAISTĪBAS: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</si>
  <si>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</si>
  <si>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</si>
  <si>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 xml:space="preserve">Projekta Ielu seguma atjaunošana dažādos posmos Līgatnes novadā īstenošanai   </t>
  </si>
  <si>
    <t>Prioritārā investīciju projekta Maģistrālā ūdensvada remontdarbiLīgatnes pilsētā īstenošanai</t>
  </si>
  <si>
    <t>Pielikums Nr.2
Cēsu novada domes 21.02.2023..
Saistošajiem noteiukmiem Nr.1,
(lēmums Nr.60, protokols Nr.2)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</si>
</sst>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Tahoma"/>
      <family val="2"/>
      <charset val="186"/>
    </font>
    <font>
      <b/>
      <sz val="10"/>
      <color theme="1"/>
      <name val="Tahoma"/>
      <family val="2"/>
      <charset val="186"/>
    </font>
    <font>
      <sz val="11"/>
      <color theme="8" tint="-0.249977111117893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rgb="FF0070C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i/>
      <sz val="10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4" tint="0.3999755851924192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49" fontId="3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right" vertical="top" wrapText="1"/>
    </xf>
    <xf numFmtId="0" fontId="1" fillId="0" borderId="0" xfId="0" applyFont="1"/>
    <xf numFmtId="49" fontId="0" fillId="0" borderId="0" xfId="0" applyNumberFormat="1"/>
    <xf numFmtId="0" fontId="5" fillId="0" borderId="0" xfId="0" applyFont="1"/>
    <xf numFmtId="49" fontId="7" fillId="3" borderId="3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1" applyNumberFormat="1" applyFont="1" applyBorder="1" applyAlignment="1" applyProtection="1">
      <alignment horizontal="left" vertical="center" wrapText="1"/>
      <protection locked="0"/>
    </xf>
    <xf numFmtId="49" fontId="7" fillId="4" borderId="3" xfId="1" applyNumberFormat="1" applyFont="1" applyFill="1" applyBorder="1" applyAlignment="1" applyProtection="1">
      <alignment horizontal="left" vertical="center" wrapText="1"/>
      <protection locked="0"/>
    </xf>
    <xf numFmtId="0" fontId="7" fillId="0" borderId="3" xfId="1" applyFont="1" applyBorder="1" applyAlignment="1" applyProtection="1">
      <alignment horizontal="left" vertical="center" wrapText="1"/>
      <protection locked="0"/>
    </xf>
    <xf numFmtId="0" fontId="7" fillId="4" borderId="3" xfId="1" applyFont="1" applyFill="1" applyBorder="1" applyAlignment="1" applyProtection="1">
      <alignment horizontal="left" vertical="center" wrapText="1"/>
      <protection locked="0"/>
    </xf>
    <xf numFmtId="49" fontId="7" fillId="0" borderId="3" xfId="1" applyNumberFormat="1" applyFont="1" applyBorder="1" applyAlignment="1" applyProtection="1">
      <alignment horizontal="center" vertical="center" wrapText="1"/>
      <protection locked="0"/>
    </xf>
    <xf numFmtId="49" fontId="7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8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0" xfId="1" applyFont="1" applyAlignment="1">
      <alignment horizontal="left" wrapText="1"/>
    </xf>
    <xf numFmtId="49" fontId="7" fillId="5" borderId="4" xfId="0" applyNumberFormat="1" applyFont="1" applyFill="1" applyBorder="1" applyAlignment="1">
      <alignment horizontal="left" vertical="top" wrapText="1" shrinkToFit="1"/>
    </xf>
    <xf numFmtId="49" fontId="7" fillId="3" borderId="4" xfId="0" applyNumberFormat="1" applyFont="1" applyFill="1" applyBorder="1" applyAlignment="1">
      <alignment horizontal="left" vertical="top" wrapText="1" shrinkToFit="1"/>
    </xf>
    <xf numFmtId="0" fontId="9" fillId="0" borderId="4" xfId="0" applyFont="1" applyBorder="1" applyAlignment="1">
      <alignment wrapText="1"/>
    </xf>
    <xf numFmtId="0" fontId="7" fillId="0" borderId="3" xfId="1" applyFont="1" applyBorder="1" applyAlignment="1">
      <alignment horizontal="left" wrapText="1"/>
    </xf>
    <xf numFmtId="0" fontId="9" fillId="3" borderId="4" xfId="0" applyFont="1" applyFill="1" applyBorder="1" applyAlignment="1">
      <alignment wrapText="1"/>
    </xf>
    <xf numFmtId="0" fontId="7" fillId="0" borderId="3" xfId="1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49" fontId="8" fillId="2" borderId="5" xfId="0" applyNumberFormat="1" applyFont="1" applyFill="1" applyBorder="1" applyAlignment="1">
      <alignment horizontal="left" wrapText="1"/>
    </xf>
    <xf numFmtId="164" fontId="8" fillId="2" borderId="5" xfId="0" applyNumberFormat="1" applyFont="1" applyFill="1" applyBorder="1" applyAlignment="1">
      <alignment horizontal="right" wrapText="1"/>
    </xf>
    <xf numFmtId="49" fontId="7" fillId="0" borderId="5" xfId="1" applyNumberFormat="1" applyFont="1" applyBorder="1" applyAlignment="1" applyProtection="1">
      <alignment horizontal="left" vertical="center" wrapText="1"/>
      <protection locked="0"/>
    </xf>
    <xf numFmtId="49" fontId="7" fillId="0" borderId="5" xfId="1" applyNumberFormat="1" applyFont="1" applyBorder="1" applyAlignment="1" applyProtection="1">
      <alignment horizontal="left" wrapText="1"/>
      <protection locked="0"/>
    </xf>
    <xf numFmtId="49" fontId="7" fillId="0" borderId="3" xfId="1" applyNumberFormat="1" applyFont="1" applyBorder="1" applyAlignment="1" applyProtection="1">
      <alignment horizontal="left" wrapText="1"/>
      <protection locked="0"/>
    </xf>
    <xf numFmtId="0" fontId="9" fillId="3" borderId="5" xfId="0" applyFont="1" applyFill="1" applyBorder="1" applyAlignment="1">
      <alignment wrapText="1"/>
    </xf>
    <xf numFmtId="49" fontId="7" fillId="0" borderId="6" xfId="1" applyNumberFormat="1" applyFont="1" applyBorder="1" applyAlignment="1" applyProtection="1">
      <alignment horizontal="left" wrapText="1"/>
      <protection locked="0"/>
    </xf>
    <xf numFmtId="0" fontId="7" fillId="0" borderId="6" xfId="1" applyFont="1" applyBorder="1" applyAlignment="1">
      <alignment horizontal="left" vertical="center" wrapText="1"/>
    </xf>
    <xf numFmtId="0" fontId="9" fillId="0" borderId="5" xfId="0" applyFont="1" applyBorder="1"/>
    <xf numFmtId="0" fontId="9" fillId="0" borderId="0" xfId="0" applyFont="1"/>
    <xf numFmtId="164" fontId="9" fillId="0" borderId="5" xfId="0" applyNumberFormat="1" applyFont="1" applyBorder="1" applyAlignment="1">
      <alignment horizontal="right"/>
    </xf>
    <xf numFmtId="164" fontId="9" fillId="0" borderId="7" xfId="0" applyNumberFormat="1" applyFont="1" applyBorder="1" applyAlignment="1">
      <alignment horizontal="right"/>
    </xf>
    <xf numFmtId="164" fontId="10" fillId="0" borderId="5" xfId="0" applyNumberFormat="1" applyFont="1" applyBorder="1" applyAlignment="1">
      <alignment horizontal="right"/>
    </xf>
    <xf numFmtId="164" fontId="11" fillId="0" borderId="5" xfId="0" applyNumberFormat="1" applyFont="1" applyBorder="1" applyAlignment="1">
      <alignment horizontal="right"/>
    </xf>
    <xf numFmtId="164" fontId="7" fillId="2" borderId="5" xfId="0" applyNumberFormat="1" applyFont="1" applyFill="1" applyBorder="1" applyAlignment="1">
      <alignment horizontal="right" wrapText="1"/>
    </xf>
    <xf numFmtId="0" fontId="12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49" fontId="7" fillId="0" borderId="3" xfId="1" applyNumberFormat="1" applyFont="1" applyBorder="1" applyAlignment="1">
      <alignment vertical="center" wrapText="1"/>
    </xf>
    <xf numFmtId="0" fontId="14" fillId="0" borderId="0" xfId="0" applyFont="1" applyAlignment="1">
      <alignment horizontal="right"/>
    </xf>
    <xf numFmtId="49" fontId="7" fillId="0" borderId="0" xfId="1" applyNumberFormat="1" applyFont="1" applyAlignment="1" applyProtection="1">
      <alignment vertical="center" wrapText="1"/>
      <protection locked="0"/>
    </xf>
    <xf numFmtId="49" fontId="19" fillId="0" borderId="0" xfId="1" applyNumberFormat="1" applyFont="1" applyAlignment="1">
      <alignment vertical="center" wrapText="1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3" fontId="17" fillId="8" borderId="13" xfId="1" applyNumberFormat="1" applyFont="1" applyFill="1" applyBorder="1" applyAlignment="1" applyProtection="1">
      <alignment horizontal="right" vertical="center"/>
      <protection locked="0"/>
    </xf>
    <xf numFmtId="3" fontId="17" fillId="8" borderId="12" xfId="1" applyNumberFormat="1" applyFont="1" applyFill="1" applyBorder="1" applyAlignment="1" applyProtection="1">
      <alignment horizontal="right" vertical="center"/>
      <protection locked="0"/>
    </xf>
    <xf numFmtId="3" fontId="17" fillId="0" borderId="0" xfId="1" applyNumberFormat="1" applyFont="1" applyAlignment="1" applyProtection="1">
      <alignment horizontal="right" vertical="center"/>
      <protection locked="0"/>
    </xf>
    <xf numFmtId="0" fontId="7" fillId="0" borderId="10" xfId="1" applyFont="1" applyBorder="1" applyAlignment="1">
      <alignment horizontal="right" vertical="center" wrapText="1"/>
    </xf>
    <xf numFmtId="49" fontId="8" fillId="2" borderId="15" xfId="0" applyNumberFormat="1" applyFont="1" applyFill="1" applyBorder="1" applyAlignment="1">
      <alignment horizontal="left" wrapText="1"/>
    </xf>
    <xf numFmtId="0" fontId="9" fillId="0" borderId="15" xfId="0" applyFont="1" applyBorder="1"/>
    <xf numFmtId="164" fontId="8" fillId="2" borderId="15" xfId="0" applyNumberFormat="1" applyFont="1" applyFill="1" applyBorder="1" applyAlignment="1">
      <alignment horizontal="right" wrapText="1"/>
    </xf>
    <xf numFmtId="164" fontId="9" fillId="0" borderId="15" xfId="0" applyNumberFormat="1" applyFont="1" applyBorder="1" applyAlignment="1">
      <alignment horizontal="right"/>
    </xf>
    <xf numFmtId="164" fontId="10" fillId="0" borderId="15" xfId="0" applyNumberFormat="1" applyFont="1" applyBorder="1" applyAlignment="1">
      <alignment horizontal="right"/>
    </xf>
    <xf numFmtId="0" fontId="19" fillId="0" borderId="0" xfId="1" applyFont="1" applyAlignment="1" applyProtection="1">
      <alignment vertical="center"/>
      <protection locked="0"/>
    </xf>
    <xf numFmtId="0" fontId="9" fillId="6" borderId="14" xfId="0" applyFont="1" applyFill="1" applyBorder="1" applyAlignment="1">
      <alignment horizontal="center"/>
    </xf>
    <xf numFmtId="0" fontId="0" fillId="6" borderId="14" xfId="0" applyFill="1" applyBorder="1"/>
    <xf numFmtId="0" fontId="0" fillId="6" borderId="14" xfId="0" applyFill="1" applyBorder="1" applyAlignment="1">
      <alignment horizontal="center"/>
    </xf>
    <xf numFmtId="164" fontId="2" fillId="6" borderId="14" xfId="0" applyNumberFormat="1" applyFont="1" applyFill="1" applyBorder="1"/>
    <xf numFmtId="164" fontId="10" fillId="6" borderId="14" xfId="0" applyNumberFormat="1" applyFont="1" applyFill="1" applyBorder="1"/>
    <xf numFmtId="164" fontId="10" fillId="6" borderId="14" xfId="0" applyNumberFormat="1" applyFont="1" applyFill="1" applyBorder="1" applyAlignment="1">
      <alignment horizontal="right"/>
    </xf>
    <xf numFmtId="0" fontId="9" fillId="0" borderId="14" xfId="0" applyFont="1" applyBorder="1"/>
    <xf numFmtId="164" fontId="0" fillId="0" borderId="14" xfId="0" applyNumberFormat="1" applyBorder="1"/>
    <xf numFmtId="0" fontId="9" fillId="0" borderId="14" xfId="0" applyFont="1" applyBorder="1" applyAlignment="1">
      <alignment horizontal="center"/>
    </xf>
    <xf numFmtId="49" fontId="8" fillId="2" borderId="14" xfId="0" applyNumberFormat="1" applyFont="1" applyFill="1" applyBorder="1" applyAlignment="1">
      <alignment horizontal="left" wrapText="1"/>
    </xf>
    <xf numFmtId="0" fontId="0" fillId="0" borderId="14" xfId="0" applyBorder="1"/>
    <xf numFmtId="164" fontId="9" fillId="0" borderId="14" xfId="0" applyNumberFormat="1" applyFont="1" applyBorder="1"/>
    <xf numFmtId="164" fontId="10" fillId="0" borderId="14" xfId="0" applyNumberFormat="1" applyFont="1" applyBorder="1"/>
    <xf numFmtId="0" fontId="10" fillId="6" borderId="14" xfId="0" applyFont="1" applyFill="1" applyBorder="1"/>
    <xf numFmtId="49" fontId="7" fillId="6" borderId="14" xfId="1" applyNumberFormat="1" applyFont="1" applyFill="1" applyBorder="1" applyAlignment="1" applyProtection="1">
      <alignment horizontal="center" vertical="center" wrapText="1"/>
      <protection locked="0"/>
    </xf>
    <xf numFmtId="0" fontId="9" fillId="6" borderId="14" xfId="0" applyFont="1" applyFill="1" applyBorder="1"/>
    <xf numFmtId="49" fontId="17" fillId="0" borderId="14" xfId="1" applyNumberFormat="1" applyFont="1" applyBorder="1" applyAlignment="1" applyProtection="1">
      <alignment horizontal="left" wrapText="1"/>
      <protection locked="0"/>
    </xf>
    <xf numFmtId="49" fontId="7" fillId="0" borderId="14" xfId="1" applyNumberFormat="1" applyFont="1" applyBorder="1" applyAlignment="1" applyProtection="1">
      <alignment horizontal="left" vertical="center" wrapText="1"/>
      <protection locked="0"/>
    </xf>
    <xf numFmtId="49" fontId="7" fillId="0" borderId="14" xfId="1" applyNumberFormat="1" applyFont="1" applyBorder="1" applyAlignment="1" applyProtection="1">
      <alignment horizontal="center" vertical="center" wrapText="1"/>
      <protection locked="0"/>
    </xf>
    <xf numFmtId="3" fontId="7" fillId="0" borderId="14" xfId="1" applyNumberFormat="1" applyFont="1" applyBorder="1" applyAlignment="1" applyProtection="1">
      <alignment horizontal="right" vertical="center"/>
      <protection locked="0"/>
    </xf>
    <xf numFmtId="3" fontId="17" fillId="0" borderId="14" xfId="1" applyNumberFormat="1" applyFont="1" applyBorder="1" applyAlignment="1">
      <alignment horizontal="right" vertical="center" wrapText="1"/>
    </xf>
    <xf numFmtId="3" fontId="18" fillId="0" borderId="14" xfId="1" applyNumberFormat="1" applyFont="1" applyBorder="1" applyAlignment="1">
      <alignment horizontal="right" vertical="center" wrapText="1"/>
    </xf>
    <xf numFmtId="49" fontId="17" fillId="6" borderId="14" xfId="1" applyNumberFormat="1" applyFont="1" applyFill="1" applyBorder="1" applyAlignment="1" applyProtection="1">
      <alignment vertical="center" wrapText="1"/>
      <protection locked="0"/>
    </xf>
    <xf numFmtId="3" fontId="17" fillId="6" borderId="14" xfId="1" applyNumberFormat="1" applyFont="1" applyFill="1" applyBorder="1" applyAlignment="1">
      <alignment horizontal="right" vertical="center" wrapText="1"/>
    </xf>
    <xf numFmtId="3" fontId="18" fillId="6" borderId="14" xfId="1" applyNumberFormat="1" applyFont="1" applyFill="1" applyBorder="1" applyAlignment="1">
      <alignment horizontal="right" vertical="center" wrapText="1"/>
    </xf>
    <xf numFmtId="0" fontId="9" fillId="7" borderId="14" xfId="0" applyFont="1" applyFill="1" applyBorder="1" applyAlignment="1">
      <alignment horizontal="center"/>
    </xf>
    <xf numFmtId="0" fontId="9" fillId="7" borderId="14" xfId="0" applyFont="1" applyFill="1" applyBorder="1"/>
    <xf numFmtId="164" fontId="10" fillId="7" borderId="14" xfId="0" applyNumberFormat="1" applyFont="1" applyFill="1" applyBorder="1"/>
    <xf numFmtId="49" fontId="7" fillId="0" borderId="14" xfId="1" applyNumberFormat="1" applyFont="1" applyBorder="1" applyAlignment="1" applyProtection="1">
      <alignment vertical="center" wrapText="1"/>
      <protection locked="0"/>
    </xf>
    <xf numFmtId="4" fontId="7" fillId="0" borderId="14" xfId="1" applyNumberFormat="1" applyFont="1" applyBorder="1" applyAlignment="1">
      <alignment horizontal="right" vertical="center" wrapText="1"/>
    </xf>
    <xf numFmtId="0" fontId="7" fillId="0" borderId="14" xfId="1" applyFont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left" wrapText="1"/>
    </xf>
    <xf numFmtId="0" fontId="9" fillId="0" borderId="19" xfId="0" applyFont="1" applyBorder="1"/>
    <xf numFmtId="164" fontId="8" fillId="2" borderId="19" xfId="0" applyNumberFormat="1" applyFont="1" applyFill="1" applyBorder="1" applyAlignment="1">
      <alignment horizontal="right" wrapText="1"/>
    </xf>
    <xf numFmtId="164" fontId="9" fillId="0" borderId="19" xfId="0" applyNumberFormat="1" applyFont="1" applyBorder="1" applyAlignment="1">
      <alignment horizontal="right"/>
    </xf>
    <xf numFmtId="164" fontId="10" fillId="0" borderId="19" xfId="0" applyNumberFormat="1" applyFont="1" applyBorder="1" applyAlignment="1">
      <alignment horizontal="right"/>
    </xf>
    <xf numFmtId="0" fontId="15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9" fontId="16" fillId="0" borderId="14" xfId="1" applyNumberFormat="1" applyFont="1" applyBorder="1" applyAlignment="1" applyProtection="1">
      <alignment horizontal="center" vertical="center" wrapText="1"/>
      <protection locked="0"/>
    </xf>
    <xf numFmtId="0" fontId="10" fillId="7" borderId="14" xfId="0" applyFont="1" applyFill="1" applyBorder="1" applyAlignment="1">
      <alignment horizontal="left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6" xfId="1" applyNumberFormat="1" applyFont="1" applyBorder="1" applyAlignment="1" applyProtection="1">
      <alignment horizontal="left" vertical="center" wrapText="1"/>
      <protection locked="0"/>
    </xf>
    <xf numFmtId="49" fontId="7" fillId="0" borderId="17" xfId="1" applyNumberFormat="1" applyFont="1" applyBorder="1" applyAlignment="1" applyProtection="1">
      <alignment horizontal="left" vertical="center" wrapText="1"/>
      <protection locked="0"/>
    </xf>
    <xf numFmtId="49" fontId="7" fillId="0" borderId="18" xfId="1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top" wrapText="1"/>
    </xf>
    <xf numFmtId="0" fontId="13" fillId="0" borderId="0" xfId="1" applyFont="1" applyAlignment="1" applyProtection="1">
      <alignment horizontal="center"/>
      <protection locked="0"/>
    </xf>
    <xf numFmtId="49" fontId="7" fillId="0" borderId="14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</cellXfs>
  <cellStyles count="2">
    <cellStyle name="Normal_Pamatformas" xfId="1" xr:uid="{BBFCEFD0-C776-48DC-AAFF-C4CA24C5BF16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661F-2B2F-4479-A8AD-26FA340DA58C}">
  <sheetPr>
    <pageSetUpPr fitToPage="1"/>
  </sheetPr>
  <dimension ref="A1:AT156"/>
  <sheetViews>
    <sheetView tabSelected="1" workbookViewId="0">
      <selection activeCell="AU1" sqref="AU1"/>
    </sheetView>
  </sheetViews>
  <sheetFormatPr defaultRowHeight="14.4" x14ac:dyDescent="0.3"/>
  <cols>
    <col min="1" max="1" width="8.88671875" style="42"/>
    <col min="2" max="2" width="15.109375" customWidth="1"/>
    <col min="3" max="3" width="15.109375" hidden="1" customWidth="1"/>
    <col min="4" max="4" width="65.5546875" customWidth="1"/>
    <col min="5" max="5" width="15.109375" style="35" customWidth="1"/>
    <col min="6" max="6" width="14.88671875" customWidth="1"/>
    <col min="7" max="13" width="14.88671875" style="35" customWidth="1"/>
    <col min="14" max="14" width="16.88671875" style="35" customWidth="1"/>
    <col min="15" max="16" width="11" hidden="1" customWidth="1"/>
    <col min="17" max="17" width="52.33203125" hidden="1" customWidth="1"/>
    <col min="18" max="18" width="13" hidden="1" customWidth="1"/>
    <col min="19" max="20" width="0" hidden="1" customWidth="1"/>
    <col min="21" max="21" width="13.44140625" hidden="1" customWidth="1"/>
    <col min="22" max="22" width="47.88671875" hidden="1" customWidth="1"/>
    <col min="23" max="23" width="12.6640625" hidden="1" customWidth="1"/>
    <col min="24" max="24" width="11.33203125" hidden="1" customWidth="1"/>
    <col min="25" max="25" width="12.33203125" hidden="1" customWidth="1"/>
    <col min="26" max="28" width="14.6640625" hidden="1" customWidth="1"/>
    <col min="29" max="29" width="0" hidden="1" customWidth="1"/>
    <col min="30" max="32" width="12.5546875" hidden="1" customWidth="1"/>
    <col min="33" max="33" width="0" hidden="1" customWidth="1"/>
    <col min="34" max="36" width="11.6640625" hidden="1" customWidth="1"/>
    <col min="37" max="37" width="0" hidden="1" customWidth="1"/>
    <col min="38" max="40" width="13.5546875" hidden="1" customWidth="1"/>
    <col min="41" max="41" width="0" hidden="1" customWidth="1"/>
    <col min="42" max="46" width="11.6640625" hidden="1" customWidth="1"/>
  </cols>
  <sheetData>
    <row r="1" spans="1:46" ht="52.2" customHeight="1" x14ac:dyDescent="0.3">
      <c r="M1" s="105" t="s">
        <v>563</v>
      </c>
      <c r="N1" s="105"/>
      <c r="O1" s="41"/>
    </row>
    <row r="2" spans="1:46" ht="15.6" x14ac:dyDescent="0.3">
      <c r="B2" s="106" t="s">
        <v>538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46" x14ac:dyDescent="0.3">
      <c r="N3" s="44" t="s">
        <v>544</v>
      </c>
    </row>
    <row r="4" spans="1:46" ht="14.4" customHeight="1" x14ac:dyDescent="0.3">
      <c r="A4" s="107" t="s">
        <v>539</v>
      </c>
      <c r="B4" s="107" t="s">
        <v>540</v>
      </c>
      <c r="C4" s="107" t="s">
        <v>541</v>
      </c>
      <c r="D4" s="107" t="s">
        <v>542</v>
      </c>
      <c r="E4" s="107" t="s">
        <v>543</v>
      </c>
      <c r="F4" s="108"/>
      <c r="G4" s="108"/>
      <c r="H4" s="108"/>
      <c r="I4" s="108"/>
      <c r="J4" s="108"/>
      <c r="K4" s="108"/>
      <c r="L4" s="108"/>
      <c r="M4" s="108"/>
      <c r="N4" s="108"/>
    </row>
    <row r="5" spans="1:46" ht="31.8" customHeight="1" x14ac:dyDescent="0.3">
      <c r="A5" s="107"/>
      <c r="B5" s="107"/>
      <c r="C5" s="107"/>
      <c r="D5" s="107"/>
      <c r="E5" s="107"/>
      <c r="F5" s="95">
        <v>2023</v>
      </c>
      <c r="G5" s="96">
        <v>2024</v>
      </c>
      <c r="H5" s="96">
        <v>2025</v>
      </c>
      <c r="I5" s="96">
        <v>2026</v>
      </c>
      <c r="J5" s="96">
        <v>2027</v>
      </c>
      <c r="K5" s="96">
        <v>2028</v>
      </c>
      <c r="L5" s="96">
        <v>2029</v>
      </c>
      <c r="M5" s="96" t="s">
        <v>536</v>
      </c>
      <c r="N5" s="96" t="s">
        <v>537</v>
      </c>
      <c r="O5" s="7"/>
      <c r="P5" s="7"/>
      <c r="Q5" s="7"/>
      <c r="R5" s="7"/>
      <c r="S5" s="7"/>
      <c r="T5" s="7"/>
      <c r="U5" s="7"/>
      <c r="V5" s="7"/>
      <c r="W5" s="7"/>
      <c r="X5" s="7"/>
      <c r="AB5" s="5">
        <v>2024</v>
      </c>
      <c r="AF5" s="5">
        <v>2025</v>
      </c>
      <c r="AJ5" s="5">
        <v>2026</v>
      </c>
      <c r="AN5" s="5">
        <v>2027</v>
      </c>
      <c r="AR5" s="5">
        <v>2028</v>
      </c>
      <c r="AS5" s="5"/>
      <c r="AT5" s="5" t="s">
        <v>270</v>
      </c>
    </row>
    <row r="6" spans="1:46" ht="20.25" customHeight="1" x14ac:dyDescent="0.3">
      <c r="A6" s="42">
        <v>1</v>
      </c>
      <c r="B6" s="90" t="s">
        <v>260</v>
      </c>
      <c r="C6" s="90" t="s">
        <v>261</v>
      </c>
      <c r="D6" s="91" t="str">
        <f t="shared" ref="D6:D17" si="0">VLOOKUP($C6,$U:$X,2,0)</f>
        <v>P-94/2005-Cēsu pilsētas pašvaldības iestāžu remonts</v>
      </c>
      <c r="E6" s="91" t="str">
        <f t="shared" ref="E6:E17" si="1">VLOOKUP($C6,$W:$X,2,0)</f>
        <v>15.06.2005</v>
      </c>
      <c r="F6" s="92">
        <v>25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  <c r="L6" s="93">
        <v>0</v>
      </c>
      <c r="M6" s="93">
        <v>0</v>
      </c>
      <c r="N6" s="94">
        <f>SUM(F6:M6)</f>
        <v>25</v>
      </c>
      <c r="Q6" t="str">
        <f t="shared" ref="Q6:Q37" si="2">VLOOKUP($C6,$U:$X,2,0)</f>
        <v>P-94/2005-Cēsu pilsētas pašvaldības iestāžu remonts</v>
      </c>
      <c r="R6" t="str">
        <f t="shared" ref="R6:R37" si="3">VLOOKUP($C6,$W:$X,2,0)</f>
        <v>15.06.2005</v>
      </c>
      <c r="U6" s="8" t="s">
        <v>171</v>
      </c>
      <c r="V6" s="9" t="s">
        <v>280</v>
      </c>
      <c r="W6" s="8" t="s">
        <v>171</v>
      </c>
      <c r="X6" s="13" t="s">
        <v>281</v>
      </c>
      <c r="Z6" s="1" t="s">
        <v>0</v>
      </c>
      <c r="AA6" s="1" t="s">
        <v>1</v>
      </c>
      <c r="AB6" s="2">
        <v>11211.470000000001</v>
      </c>
      <c r="AD6" s="1" t="s">
        <v>0</v>
      </c>
      <c r="AE6" s="1" t="s">
        <v>1</v>
      </c>
      <c r="AF6" s="2">
        <v>10848.59</v>
      </c>
      <c r="AG6" s="6"/>
      <c r="AH6" s="1" t="s">
        <v>0</v>
      </c>
      <c r="AI6" s="1" t="s">
        <v>1</v>
      </c>
      <c r="AJ6" s="2">
        <v>5317.1900000000005</v>
      </c>
      <c r="AL6" s="1" t="s">
        <v>4</v>
      </c>
      <c r="AM6" s="1" t="s">
        <v>5</v>
      </c>
      <c r="AN6" s="2">
        <v>4152.1299999999992</v>
      </c>
      <c r="AP6" s="1" t="s">
        <v>14</v>
      </c>
      <c r="AQ6" s="1" t="s">
        <v>15</v>
      </c>
      <c r="AR6" s="2">
        <v>3646.5099999999998</v>
      </c>
      <c r="AS6" s="1" t="s">
        <v>15</v>
      </c>
      <c r="AT6" s="2">
        <v>0</v>
      </c>
    </row>
    <row r="7" spans="1:46" ht="20.25" customHeight="1" x14ac:dyDescent="0.3">
      <c r="A7" s="42">
        <v>2</v>
      </c>
      <c r="B7" s="26" t="s">
        <v>262</v>
      </c>
      <c r="C7" s="26" t="s">
        <v>263</v>
      </c>
      <c r="D7" s="34" t="str">
        <f t="shared" si="0"/>
        <v>P-57/2006 Pilsētas ielu segums, lietus ūdens kanalizācijas, apgaismojuma rekonstrukcija</v>
      </c>
      <c r="E7" s="34" t="str">
        <f t="shared" si="1"/>
        <v>16.03.2006</v>
      </c>
      <c r="F7" s="27">
        <v>41.88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7">
        <v>0</v>
      </c>
      <c r="M7" s="36">
        <v>0</v>
      </c>
      <c r="N7" s="38">
        <f t="shared" ref="N7:N70" si="4">SUM(F7:M7)</f>
        <v>41.88</v>
      </c>
      <c r="Q7" t="str">
        <f t="shared" si="2"/>
        <v>P-57/2006 Pilsētas ielu segums, lietus ūdens kanalizācijas, apgaismojuma rekonstrukcija</v>
      </c>
      <c r="R7" t="str">
        <f t="shared" si="3"/>
        <v>16.03.2006</v>
      </c>
      <c r="U7" s="8" t="s">
        <v>155</v>
      </c>
      <c r="V7" s="9" t="s">
        <v>282</v>
      </c>
      <c r="W7" s="8" t="s">
        <v>155</v>
      </c>
      <c r="X7" s="13" t="s">
        <v>283</v>
      </c>
      <c r="Z7" s="1" t="s">
        <v>2</v>
      </c>
      <c r="AA7" s="1" t="s">
        <v>3</v>
      </c>
      <c r="AB7" s="2">
        <v>114998.15000000001</v>
      </c>
      <c r="AD7" s="1" t="s">
        <v>2</v>
      </c>
      <c r="AE7" s="1" t="s">
        <v>3</v>
      </c>
      <c r="AF7" s="2">
        <v>111058.54</v>
      </c>
      <c r="AH7" s="1" t="s">
        <v>2</v>
      </c>
      <c r="AI7" s="1" t="s">
        <v>3</v>
      </c>
      <c r="AJ7" s="2">
        <v>217.63000000000002</v>
      </c>
      <c r="AL7" s="1" t="s">
        <v>12</v>
      </c>
      <c r="AM7" s="1" t="s">
        <v>13</v>
      </c>
      <c r="AN7" s="2">
        <v>14771.68</v>
      </c>
      <c r="AP7" s="1" t="s">
        <v>16</v>
      </c>
      <c r="AQ7" s="1" t="s">
        <v>17</v>
      </c>
      <c r="AR7" s="2">
        <v>351.2</v>
      </c>
      <c r="AS7" s="1" t="s">
        <v>17</v>
      </c>
      <c r="AT7" s="2">
        <v>0</v>
      </c>
    </row>
    <row r="8" spans="1:46" ht="20.25" customHeight="1" x14ac:dyDescent="0.3">
      <c r="A8" s="42">
        <v>3</v>
      </c>
      <c r="B8" s="26" t="s">
        <v>0</v>
      </c>
      <c r="C8" s="26" t="s">
        <v>1</v>
      </c>
      <c r="D8" s="34" t="str">
        <f t="shared" si="0"/>
        <v>Vidusskolas sporta zāles celtniecība</v>
      </c>
      <c r="E8" s="34" t="str">
        <f t="shared" si="1"/>
        <v>01.06.2006</v>
      </c>
      <c r="F8" s="40">
        <v>11144</v>
      </c>
      <c r="G8" s="36">
        <f t="shared" ref="G8:G55" si="5">VLOOKUP(C8,$AA:$AB,2,0)</f>
        <v>11211.470000000001</v>
      </c>
      <c r="H8" s="36">
        <f>VLOOKUP(C8,$AE:$AF,2,0)</f>
        <v>10848.59</v>
      </c>
      <c r="I8" s="36">
        <f>VLOOKUP($C8,$AI:$AJ,2,0)</f>
        <v>5317.1900000000005</v>
      </c>
      <c r="J8" s="36">
        <v>0</v>
      </c>
      <c r="K8" s="36">
        <v>0</v>
      </c>
      <c r="L8" s="37">
        <v>0</v>
      </c>
      <c r="M8" s="36">
        <v>0</v>
      </c>
      <c r="N8" s="38">
        <f t="shared" si="4"/>
        <v>38521.25</v>
      </c>
      <c r="Q8" t="str">
        <f t="shared" si="2"/>
        <v>Vidusskolas sporta zāles celtniecība</v>
      </c>
      <c r="R8" t="str">
        <f t="shared" si="3"/>
        <v>01.06.2006</v>
      </c>
      <c r="U8" s="8" t="s">
        <v>157</v>
      </c>
      <c r="V8" s="9" t="s">
        <v>284</v>
      </c>
      <c r="W8" s="8" t="s">
        <v>157</v>
      </c>
      <c r="X8" s="13" t="s">
        <v>283</v>
      </c>
      <c r="Z8" s="1" t="s">
        <v>4</v>
      </c>
      <c r="AA8" s="1" t="s">
        <v>5</v>
      </c>
      <c r="AB8" s="2">
        <v>9233.4399999999987</v>
      </c>
      <c r="AD8" s="1" t="s">
        <v>4</v>
      </c>
      <c r="AE8" s="1" t="s">
        <v>5</v>
      </c>
      <c r="AF8" s="2">
        <v>8946.52</v>
      </c>
      <c r="AH8" s="1" t="s">
        <v>4</v>
      </c>
      <c r="AI8" s="1" t="s">
        <v>5</v>
      </c>
      <c r="AJ8" s="2">
        <v>8650.0499999999993</v>
      </c>
      <c r="AL8" s="1" t="s">
        <v>14</v>
      </c>
      <c r="AM8" s="1" t="s">
        <v>15</v>
      </c>
      <c r="AN8" s="2">
        <v>15061.78</v>
      </c>
      <c r="AP8" s="1" t="s">
        <v>18</v>
      </c>
      <c r="AQ8" s="1" t="s">
        <v>19</v>
      </c>
      <c r="AR8" s="2">
        <v>48497.31</v>
      </c>
      <c r="AS8" s="1" t="s">
        <v>19</v>
      </c>
      <c r="AT8" s="2">
        <v>58248.970000000016</v>
      </c>
    </row>
    <row r="9" spans="1:46" ht="20.25" customHeight="1" x14ac:dyDescent="0.3">
      <c r="A9" s="42">
        <v>4</v>
      </c>
      <c r="B9" s="26" t="s">
        <v>2</v>
      </c>
      <c r="C9" s="26" t="s">
        <v>3</v>
      </c>
      <c r="D9" s="34" t="str">
        <f t="shared" si="0"/>
        <v>P-151/2007 Sociālās daudzdzīvokļu dzīvojamās mājas būvniecības pabeigšanai</v>
      </c>
      <c r="E9" s="34" t="str">
        <f t="shared" si="1"/>
        <v>01.06.2007</v>
      </c>
      <c r="F9" s="27">
        <v>114651</v>
      </c>
      <c r="G9" s="36">
        <f t="shared" si="5"/>
        <v>114998.15000000001</v>
      </c>
      <c r="H9" s="36">
        <f>VLOOKUP(C9,$AE:$AF,2,0)</f>
        <v>111058.54</v>
      </c>
      <c r="I9" s="36">
        <f>VLOOKUP($C9,$AI:$AJ,2,0)</f>
        <v>217.63000000000002</v>
      </c>
      <c r="J9" s="36">
        <v>0</v>
      </c>
      <c r="K9" s="36">
        <v>0</v>
      </c>
      <c r="L9" s="37">
        <v>0</v>
      </c>
      <c r="M9" s="36">
        <v>0</v>
      </c>
      <c r="N9" s="38">
        <f t="shared" si="4"/>
        <v>340925.32</v>
      </c>
      <c r="Q9" t="str">
        <f t="shared" si="2"/>
        <v>P-151/2007 Sociālās daudzdzīvokļu dzīvojamās mājas būvniecības pabeigšanai</v>
      </c>
      <c r="R9" t="str">
        <f t="shared" si="3"/>
        <v>01.06.2007</v>
      </c>
      <c r="U9" s="8" t="s">
        <v>271</v>
      </c>
      <c r="V9" s="9" t="s">
        <v>285</v>
      </c>
      <c r="W9" s="8" t="s">
        <v>271</v>
      </c>
      <c r="X9" s="13" t="s">
        <v>286</v>
      </c>
      <c r="Z9" s="1" t="s">
        <v>6</v>
      </c>
      <c r="AA9" s="1" t="s">
        <v>7</v>
      </c>
      <c r="AB9" s="2">
        <v>118.49</v>
      </c>
      <c r="AD9" s="1" t="s">
        <v>10</v>
      </c>
      <c r="AE9" s="1" t="s">
        <v>11</v>
      </c>
      <c r="AF9" s="2">
        <v>248.6</v>
      </c>
      <c r="AH9" s="1" t="s">
        <v>12</v>
      </c>
      <c r="AI9" s="1" t="s">
        <v>13</v>
      </c>
      <c r="AJ9" s="2">
        <v>183278.47</v>
      </c>
      <c r="AL9" s="1" t="s">
        <v>16</v>
      </c>
      <c r="AM9" s="1" t="s">
        <v>17</v>
      </c>
      <c r="AN9" s="2">
        <v>1545.1</v>
      </c>
      <c r="AP9" s="1" t="s">
        <v>20</v>
      </c>
      <c r="AQ9" s="1" t="s">
        <v>21</v>
      </c>
      <c r="AR9" s="2">
        <v>34425.81</v>
      </c>
      <c r="AS9" s="1" t="s">
        <v>21</v>
      </c>
      <c r="AT9" s="2">
        <v>96728.520000000019</v>
      </c>
    </row>
    <row r="10" spans="1:46" ht="20.25" customHeight="1" x14ac:dyDescent="0.3">
      <c r="A10" s="42">
        <v>5</v>
      </c>
      <c r="B10" s="26" t="s">
        <v>4</v>
      </c>
      <c r="C10" s="26" t="s">
        <v>5</v>
      </c>
      <c r="D10" s="34" t="str">
        <f t="shared" si="0"/>
        <v>Vidusskolas sporta zāles celtniecība</v>
      </c>
      <c r="E10" s="34" t="str">
        <f t="shared" si="1"/>
        <v>21.06.2007</v>
      </c>
      <c r="F10" s="27">
        <v>9084</v>
      </c>
      <c r="G10" s="36">
        <f t="shared" si="5"/>
        <v>9233.4399999999987</v>
      </c>
      <c r="H10" s="36">
        <f>VLOOKUP(C10,$AE:$AF,2,0)</f>
        <v>8946.52</v>
      </c>
      <c r="I10" s="36">
        <f>VLOOKUP($C10,$AI:$AJ,2,0)</f>
        <v>8650.0499999999993</v>
      </c>
      <c r="J10" s="36">
        <f>VLOOKUP($C10,$AM:$AN,2,0)</f>
        <v>4152.1299999999992</v>
      </c>
      <c r="K10" s="36">
        <v>0</v>
      </c>
      <c r="L10" s="37">
        <v>0</v>
      </c>
      <c r="M10" s="36">
        <v>0</v>
      </c>
      <c r="N10" s="38">
        <f t="shared" si="4"/>
        <v>40066.139999999992</v>
      </c>
      <c r="Q10" t="str">
        <f t="shared" si="2"/>
        <v>Vidusskolas sporta zāles celtniecība</v>
      </c>
      <c r="R10" t="str">
        <f t="shared" si="3"/>
        <v>21.06.2007</v>
      </c>
      <c r="U10" s="9" t="s">
        <v>211</v>
      </c>
      <c r="V10" s="9" t="s">
        <v>287</v>
      </c>
      <c r="W10" s="9" t="s">
        <v>211</v>
      </c>
      <c r="X10" s="13" t="s">
        <v>288</v>
      </c>
      <c r="Z10" s="1" t="s">
        <v>8</v>
      </c>
      <c r="AA10" s="1" t="s">
        <v>9</v>
      </c>
      <c r="AB10" s="2">
        <v>88.11999999999999</v>
      </c>
      <c r="AD10" s="1" t="s">
        <v>12</v>
      </c>
      <c r="AE10" s="1" t="s">
        <v>13</v>
      </c>
      <c r="AF10" s="2">
        <v>189666.99999999997</v>
      </c>
      <c r="AH10" s="1" t="s">
        <v>14</v>
      </c>
      <c r="AI10" s="1" t="s">
        <v>15</v>
      </c>
      <c r="AJ10" s="2">
        <v>15257.22</v>
      </c>
      <c r="AL10" s="1" t="s">
        <v>18</v>
      </c>
      <c r="AM10" s="1" t="s">
        <v>19</v>
      </c>
      <c r="AN10" s="2">
        <v>50114.799999999996</v>
      </c>
      <c r="AP10" s="1" t="s">
        <v>22</v>
      </c>
      <c r="AQ10" s="1" t="s">
        <v>23</v>
      </c>
      <c r="AR10" s="2">
        <v>2887.02</v>
      </c>
      <c r="AS10" s="1" t="s">
        <v>23</v>
      </c>
      <c r="AT10" s="2">
        <v>1374.8799999999997</v>
      </c>
    </row>
    <row r="11" spans="1:46" ht="20.25" customHeight="1" x14ac:dyDescent="0.3">
      <c r="A11" s="42">
        <v>6</v>
      </c>
      <c r="B11" s="26" t="s">
        <v>6</v>
      </c>
      <c r="C11" s="26" t="s">
        <v>7</v>
      </c>
      <c r="D11" s="34" t="str">
        <f t="shared" si="0"/>
        <v>P-312/2007 Cēsu pilsētas ielu rekonstrukcijai</v>
      </c>
      <c r="E11" s="34" t="str">
        <f t="shared" si="1"/>
        <v>01.10.2007</v>
      </c>
      <c r="F11" s="27">
        <v>63539</v>
      </c>
      <c r="G11" s="36">
        <f t="shared" si="5"/>
        <v>118.49</v>
      </c>
      <c r="H11" s="36">
        <v>0</v>
      </c>
      <c r="I11" s="36">
        <v>0</v>
      </c>
      <c r="J11" s="36">
        <v>0</v>
      </c>
      <c r="K11" s="36">
        <v>0</v>
      </c>
      <c r="L11" s="37">
        <v>0</v>
      </c>
      <c r="M11" s="36">
        <v>0</v>
      </c>
      <c r="N11" s="38">
        <f t="shared" si="4"/>
        <v>63657.49</v>
      </c>
      <c r="Q11" t="str">
        <f t="shared" si="2"/>
        <v>P-312/2007 Cēsu pilsētas ielu rekonstrukcijai</v>
      </c>
      <c r="R11" t="str">
        <f t="shared" si="3"/>
        <v>01.10.2007</v>
      </c>
      <c r="U11" s="9" t="s">
        <v>209</v>
      </c>
      <c r="V11" s="9" t="s">
        <v>289</v>
      </c>
      <c r="W11" s="9" t="s">
        <v>209</v>
      </c>
      <c r="X11" s="13" t="s">
        <v>288</v>
      </c>
      <c r="Z11" s="1" t="s">
        <v>10</v>
      </c>
      <c r="AA11" s="1" t="s">
        <v>11</v>
      </c>
      <c r="AB11" s="2">
        <v>129974.90999999999</v>
      </c>
      <c r="AD11" s="1" t="s">
        <v>14</v>
      </c>
      <c r="AE11" s="1" t="s">
        <v>15</v>
      </c>
      <c r="AF11" s="2">
        <v>14918.400000000001</v>
      </c>
      <c r="AH11" s="1" t="s">
        <v>16</v>
      </c>
      <c r="AI11" s="1" t="s">
        <v>17</v>
      </c>
      <c r="AJ11" s="2">
        <v>1565.4399999999998</v>
      </c>
      <c r="AL11" s="1" t="s">
        <v>20</v>
      </c>
      <c r="AM11" s="1" t="s">
        <v>21</v>
      </c>
      <c r="AN11" s="2">
        <v>35505.03</v>
      </c>
      <c r="AP11" s="1" t="s">
        <v>24</v>
      </c>
      <c r="AQ11" s="1" t="s">
        <v>25</v>
      </c>
      <c r="AR11" s="2">
        <v>7867.67</v>
      </c>
      <c r="AS11" s="1" t="s">
        <v>25</v>
      </c>
      <c r="AT11" s="2">
        <v>5659.26</v>
      </c>
    </row>
    <row r="12" spans="1:46" ht="20.25" customHeight="1" x14ac:dyDescent="0.3">
      <c r="A12" s="42">
        <v>7</v>
      </c>
      <c r="B12" s="26" t="s">
        <v>8</v>
      </c>
      <c r="C12" s="26" t="s">
        <v>9</v>
      </c>
      <c r="D12" s="34" t="str">
        <f t="shared" si="0"/>
        <v>P-318/2007 ERAF pr."Cēsu pils kompleksa revitalizācija tūrisma attīstībai"īstenošana</v>
      </c>
      <c r="E12" s="34" t="str">
        <f t="shared" si="1"/>
        <v>01.10.2007</v>
      </c>
      <c r="F12" s="27">
        <v>46682</v>
      </c>
      <c r="G12" s="36">
        <f t="shared" si="5"/>
        <v>88.11999999999999</v>
      </c>
      <c r="H12" s="36">
        <v>0</v>
      </c>
      <c r="I12" s="36">
        <v>0</v>
      </c>
      <c r="J12" s="36">
        <v>0</v>
      </c>
      <c r="K12" s="36">
        <v>0</v>
      </c>
      <c r="L12" s="37">
        <v>0</v>
      </c>
      <c r="M12" s="36">
        <v>0</v>
      </c>
      <c r="N12" s="38">
        <f t="shared" si="4"/>
        <v>46770.12</v>
      </c>
      <c r="Q12" t="str">
        <f t="shared" si="2"/>
        <v>P-318/2007 ERAF pr."Cēsu pils kompleksa revitalizācija tūrisma attīstībai"īstenošana</v>
      </c>
      <c r="R12" t="str">
        <f t="shared" si="3"/>
        <v>01.10.2007</v>
      </c>
      <c r="U12" s="9" t="s">
        <v>191</v>
      </c>
      <c r="V12" s="9" t="s">
        <v>290</v>
      </c>
      <c r="W12" s="9" t="s">
        <v>191</v>
      </c>
      <c r="X12" s="13" t="s">
        <v>291</v>
      </c>
      <c r="Z12" s="1" t="s">
        <v>12</v>
      </c>
      <c r="AA12" s="1" t="s">
        <v>13</v>
      </c>
      <c r="AB12" s="2">
        <v>196112.53</v>
      </c>
      <c r="AD12" s="1" t="s">
        <v>16</v>
      </c>
      <c r="AE12" s="1" t="s">
        <v>17</v>
      </c>
      <c r="AF12" s="2">
        <v>1531.06</v>
      </c>
      <c r="AH12" s="1" t="s">
        <v>18</v>
      </c>
      <c r="AI12" s="1" t="s">
        <v>19</v>
      </c>
      <c r="AJ12" s="2">
        <v>51738.97</v>
      </c>
      <c r="AL12" s="1" t="s">
        <v>22</v>
      </c>
      <c r="AM12" s="1" t="s">
        <v>23</v>
      </c>
      <c r="AN12" s="2">
        <v>2986.04</v>
      </c>
      <c r="AP12" s="1" t="s">
        <v>26</v>
      </c>
      <c r="AQ12" s="1" t="s">
        <v>27</v>
      </c>
      <c r="AR12" s="2">
        <v>6686.03</v>
      </c>
      <c r="AS12" s="1" t="s">
        <v>27</v>
      </c>
      <c r="AT12" s="2">
        <v>4804.53</v>
      </c>
    </row>
    <row r="13" spans="1:46" ht="20.25" customHeight="1" x14ac:dyDescent="0.3">
      <c r="A13" s="42">
        <v>8</v>
      </c>
      <c r="B13" s="26" t="s">
        <v>10</v>
      </c>
      <c r="C13" s="26" t="s">
        <v>11</v>
      </c>
      <c r="D13" s="34" t="str">
        <f t="shared" si="0"/>
        <v>P-118/2008 Jaunas pirmsskolas izglīt.iestādes būvniecības līdzfinansējuma nodrošināšana</v>
      </c>
      <c r="E13" s="34" t="str">
        <f t="shared" si="1"/>
        <v>25.04.2008</v>
      </c>
      <c r="F13" s="27">
        <v>129762</v>
      </c>
      <c r="G13" s="36">
        <f t="shared" si="5"/>
        <v>129974.90999999999</v>
      </c>
      <c r="H13" s="36">
        <f t="shared" ref="H13:H33" si="6">VLOOKUP(C13,$AE:$AF,2,0)</f>
        <v>248.6</v>
      </c>
      <c r="I13" s="36">
        <v>0</v>
      </c>
      <c r="J13" s="36">
        <v>0</v>
      </c>
      <c r="K13" s="36">
        <v>0</v>
      </c>
      <c r="L13" s="37">
        <v>0</v>
      </c>
      <c r="M13" s="36">
        <v>0</v>
      </c>
      <c r="N13" s="38">
        <f t="shared" si="4"/>
        <v>259985.50999999998</v>
      </c>
      <c r="Q13" t="str">
        <f t="shared" si="2"/>
        <v>P-118/2008 Jaunas pirmsskolas izglīt.iestādes būvniecības līdzfinansējuma nodrošināšana</v>
      </c>
      <c r="R13" t="str">
        <f t="shared" si="3"/>
        <v>25.04.2008</v>
      </c>
      <c r="U13" s="9" t="s">
        <v>119</v>
      </c>
      <c r="V13" s="9" t="s">
        <v>292</v>
      </c>
      <c r="W13" s="9" t="s">
        <v>119</v>
      </c>
      <c r="X13" s="13" t="s">
        <v>293</v>
      </c>
      <c r="Z13" s="1" t="s">
        <v>14</v>
      </c>
      <c r="AA13" s="1" t="s">
        <v>15</v>
      </c>
      <c r="AB13" s="2">
        <v>15082.460000000001</v>
      </c>
      <c r="AD13" s="1" t="s">
        <v>18</v>
      </c>
      <c r="AE13" s="1" t="s">
        <v>19</v>
      </c>
      <c r="AF13" s="2">
        <v>53358.700000000004</v>
      </c>
      <c r="AH13" s="1" t="s">
        <v>20</v>
      </c>
      <c r="AI13" s="1" t="s">
        <v>21</v>
      </c>
      <c r="AJ13" s="2">
        <v>36593.899999999994</v>
      </c>
      <c r="AL13" s="1" t="s">
        <v>24</v>
      </c>
      <c r="AM13" s="1" t="s">
        <v>25</v>
      </c>
      <c r="AN13" s="2">
        <v>8239.7000000000007</v>
      </c>
      <c r="AP13" s="1" t="s">
        <v>28</v>
      </c>
      <c r="AQ13" s="1" t="s">
        <v>29</v>
      </c>
      <c r="AR13" s="2">
        <v>52619.86</v>
      </c>
      <c r="AS13" s="1" t="s">
        <v>29</v>
      </c>
      <c r="AT13" s="2">
        <v>147844.84000000003</v>
      </c>
    </row>
    <row r="14" spans="1:46" ht="20.25" customHeight="1" x14ac:dyDescent="0.3">
      <c r="A14" s="42">
        <v>9</v>
      </c>
      <c r="B14" s="26" t="s">
        <v>12</v>
      </c>
      <c r="C14" s="26" t="s">
        <v>13</v>
      </c>
      <c r="D14" s="34" t="str">
        <f t="shared" si="0"/>
        <v>P-134/2008-Cēsu pilsētas ielu rekonstrukcijai</v>
      </c>
      <c r="E14" s="34" t="str">
        <f t="shared" si="1"/>
        <v>07.05.2008</v>
      </c>
      <c r="F14" s="27">
        <v>189119</v>
      </c>
      <c r="G14" s="36">
        <f t="shared" si="5"/>
        <v>196112.53</v>
      </c>
      <c r="H14" s="36">
        <f t="shared" si="6"/>
        <v>189666.99999999997</v>
      </c>
      <c r="I14" s="36">
        <f t="shared" ref="I14:I25" si="7">VLOOKUP($C14,$AI:$AJ,2,0)</f>
        <v>183278.47</v>
      </c>
      <c r="J14" s="36">
        <f t="shared" ref="J14:J25" si="8">VLOOKUP($C14,$AM:$AN,2,0)</f>
        <v>14771.68</v>
      </c>
      <c r="K14" s="36">
        <v>0</v>
      </c>
      <c r="L14" s="37">
        <v>0</v>
      </c>
      <c r="M14" s="36">
        <v>0</v>
      </c>
      <c r="N14" s="38">
        <f t="shared" si="4"/>
        <v>772948.68</v>
      </c>
      <c r="Q14" t="str">
        <f t="shared" si="2"/>
        <v>P-134/2008-Cēsu pilsētas ielu rekonstrukcijai</v>
      </c>
      <c r="R14" t="str">
        <f t="shared" si="3"/>
        <v>07.05.2008</v>
      </c>
      <c r="U14" s="9" t="s">
        <v>199</v>
      </c>
      <c r="V14" s="9" t="s">
        <v>294</v>
      </c>
      <c r="W14" s="9" t="s">
        <v>199</v>
      </c>
      <c r="X14" s="13" t="s">
        <v>295</v>
      </c>
      <c r="Z14" s="1" t="s">
        <v>16</v>
      </c>
      <c r="AA14" s="1" t="s">
        <v>17</v>
      </c>
      <c r="AB14" s="2">
        <v>1547.8899999999999</v>
      </c>
      <c r="AD14" s="1" t="s">
        <v>20</v>
      </c>
      <c r="AE14" s="1" t="s">
        <v>21</v>
      </c>
      <c r="AF14" s="2">
        <v>37679.82</v>
      </c>
      <c r="AH14" s="1" t="s">
        <v>22</v>
      </c>
      <c r="AI14" s="1" t="s">
        <v>23</v>
      </c>
      <c r="AJ14" s="2">
        <v>3085.2499999999995</v>
      </c>
      <c r="AL14" s="1" t="s">
        <v>26</v>
      </c>
      <c r="AM14" s="1" t="s">
        <v>27</v>
      </c>
      <c r="AN14" s="2">
        <v>7009.5599999999995</v>
      </c>
      <c r="AP14" s="1" t="s">
        <v>30</v>
      </c>
      <c r="AQ14" s="1" t="s">
        <v>31</v>
      </c>
      <c r="AR14" s="2">
        <v>1527.24</v>
      </c>
      <c r="AS14" s="1" t="s">
        <v>31</v>
      </c>
      <c r="AT14" s="2">
        <v>1457.7099999999998</v>
      </c>
    </row>
    <row r="15" spans="1:46" ht="20.25" customHeight="1" x14ac:dyDescent="0.3">
      <c r="A15" s="42">
        <v>10</v>
      </c>
      <c r="B15" s="26" t="s">
        <v>14</v>
      </c>
      <c r="C15" s="26" t="s">
        <v>15</v>
      </c>
      <c r="D15" s="34" t="str">
        <f t="shared" si="0"/>
        <v>Ārējo siltumtīklu, ūdens un kanalizācijas sistēmas rekonstrukcija nekustamā īpašumā "Gaismas"</v>
      </c>
      <c r="E15" s="34" t="str">
        <f t="shared" si="1"/>
        <v>07.05.2008</v>
      </c>
      <c r="F15" s="27">
        <v>15019</v>
      </c>
      <c r="G15" s="36">
        <f t="shared" si="5"/>
        <v>15082.460000000001</v>
      </c>
      <c r="H15" s="36">
        <f t="shared" si="6"/>
        <v>14918.400000000001</v>
      </c>
      <c r="I15" s="36">
        <f t="shared" si="7"/>
        <v>15257.22</v>
      </c>
      <c r="J15" s="36">
        <f t="shared" si="8"/>
        <v>15061.78</v>
      </c>
      <c r="K15" s="36">
        <f t="shared" ref="K15:K25" si="9">VLOOKUP($C15,$AQ:$AR,2,0)</f>
        <v>3646.5099999999998</v>
      </c>
      <c r="L15" s="37">
        <v>0</v>
      </c>
      <c r="M15" s="36">
        <f>VLOOKUP($C15,$AS:$AT,2,0)</f>
        <v>0</v>
      </c>
      <c r="N15" s="38">
        <f t="shared" si="4"/>
        <v>78985.37</v>
      </c>
      <c r="Q15" t="str">
        <f t="shared" si="2"/>
        <v>Ārējo siltumtīklu, ūdens un kanalizācijas sistēmas rekonstrukcija nekustamā īpašumā "Gaismas"</v>
      </c>
      <c r="R15" t="str">
        <f t="shared" si="3"/>
        <v>07.05.2008</v>
      </c>
      <c r="U15" s="8" t="s">
        <v>45</v>
      </c>
      <c r="V15" s="9" t="s">
        <v>296</v>
      </c>
      <c r="W15" s="8" t="s">
        <v>45</v>
      </c>
      <c r="X15" s="13" t="s">
        <v>297</v>
      </c>
      <c r="Z15" s="1" t="s">
        <v>18</v>
      </c>
      <c r="AA15" s="1" t="s">
        <v>19</v>
      </c>
      <c r="AB15" s="2">
        <v>55007.340000000004</v>
      </c>
      <c r="AD15" s="1" t="s">
        <v>22</v>
      </c>
      <c r="AE15" s="1" t="s">
        <v>23</v>
      </c>
      <c r="AF15" s="2">
        <v>3184.1899999999996</v>
      </c>
      <c r="AH15" s="1" t="s">
        <v>24</v>
      </c>
      <c r="AI15" s="1" t="s">
        <v>25</v>
      </c>
      <c r="AJ15" s="2">
        <v>8612.7200000000012</v>
      </c>
      <c r="AL15" s="1" t="s">
        <v>28</v>
      </c>
      <c r="AM15" s="1" t="s">
        <v>29</v>
      </c>
      <c r="AN15" s="2">
        <v>54269.52</v>
      </c>
      <c r="AP15" s="1" t="s">
        <v>32</v>
      </c>
      <c r="AQ15" s="1" t="s">
        <v>33</v>
      </c>
      <c r="AR15" s="2">
        <v>31379.47</v>
      </c>
      <c r="AS15" s="1" t="s">
        <v>33</v>
      </c>
      <c r="AT15" s="2">
        <v>37724.17</v>
      </c>
    </row>
    <row r="16" spans="1:46" ht="20.25" customHeight="1" x14ac:dyDescent="0.3">
      <c r="A16" s="42">
        <v>11</v>
      </c>
      <c r="B16" s="26" t="s">
        <v>16</v>
      </c>
      <c r="C16" s="26" t="s">
        <v>17</v>
      </c>
      <c r="D16" s="34" t="str">
        <f t="shared" si="0"/>
        <v>Mārsnēnu pamatskolas pirmskolas grupu telpu ēkas rekonstrukcija</v>
      </c>
      <c r="E16" s="34" t="str">
        <f t="shared" si="1"/>
        <v>07.05.2008</v>
      </c>
      <c r="F16" s="27">
        <v>1541</v>
      </c>
      <c r="G16" s="36">
        <f t="shared" si="5"/>
        <v>1547.8899999999999</v>
      </c>
      <c r="H16" s="36">
        <f t="shared" si="6"/>
        <v>1531.06</v>
      </c>
      <c r="I16" s="36">
        <f t="shared" si="7"/>
        <v>1565.4399999999998</v>
      </c>
      <c r="J16" s="36">
        <f t="shared" si="8"/>
        <v>1545.1</v>
      </c>
      <c r="K16" s="36">
        <f t="shared" si="9"/>
        <v>351.2</v>
      </c>
      <c r="L16" s="37">
        <v>0</v>
      </c>
      <c r="M16" s="36">
        <f>VLOOKUP($C16,$AS:$AT,2,0)</f>
        <v>0</v>
      </c>
      <c r="N16" s="38">
        <f>SUM(F16:M16)</f>
        <v>8081.69</v>
      </c>
      <c r="Q16" t="str">
        <f t="shared" si="2"/>
        <v>Mārsnēnu pamatskolas pirmskolas grupu telpu ēkas rekonstrukcija</v>
      </c>
      <c r="R16" t="str">
        <f t="shared" si="3"/>
        <v>07.05.2008</v>
      </c>
      <c r="U16" s="8" t="s">
        <v>272</v>
      </c>
      <c r="V16" s="9" t="s">
        <v>298</v>
      </c>
      <c r="W16" s="8" t="s">
        <v>272</v>
      </c>
      <c r="X16" s="13" t="s">
        <v>299</v>
      </c>
      <c r="Z16" s="1" t="s">
        <v>20</v>
      </c>
      <c r="AA16" s="1" t="s">
        <v>21</v>
      </c>
      <c r="AB16" s="2">
        <v>38689.040000000001</v>
      </c>
      <c r="AD16" s="1" t="s">
        <v>24</v>
      </c>
      <c r="AE16" s="1" t="s">
        <v>25</v>
      </c>
      <c r="AF16" s="2">
        <v>8984.74</v>
      </c>
      <c r="AH16" s="1" t="s">
        <v>26</v>
      </c>
      <c r="AI16" s="1" t="s">
        <v>27</v>
      </c>
      <c r="AJ16" s="2">
        <v>7334</v>
      </c>
      <c r="AL16" s="1" t="s">
        <v>30</v>
      </c>
      <c r="AM16" s="1" t="s">
        <v>31</v>
      </c>
      <c r="AN16" s="2">
        <v>1600.22</v>
      </c>
      <c r="AP16" s="1" t="s">
        <v>34</v>
      </c>
      <c r="AQ16" s="1" t="s">
        <v>35</v>
      </c>
      <c r="AR16" s="2">
        <v>14475.199999999999</v>
      </c>
      <c r="AS16" s="1" t="s">
        <v>35</v>
      </c>
      <c r="AT16" s="2">
        <v>7023.9400000000005</v>
      </c>
    </row>
    <row r="17" spans="1:46" ht="20.25" customHeight="1" x14ac:dyDescent="0.3">
      <c r="A17" s="42">
        <v>12</v>
      </c>
      <c r="B17" s="26" t="s">
        <v>18</v>
      </c>
      <c r="C17" s="26" t="s">
        <v>19</v>
      </c>
      <c r="D17" s="34" t="str">
        <f t="shared" si="0"/>
        <v>P-218/2008 Sporta laukuma rekonstrukcijai</v>
      </c>
      <c r="E17" s="34" t="str">
        <f t="shared" si="1"/>
        <v>19.06.2008</v>
      </c>
      <c r="F17" s="27">
        <v>50495</v>
      </c>
      <c r="G17" s="36">
        <f t="shared" si="5"/>
        <v>55007.340000000004</v>
      </c>
      <c r="H17" s="36">
        <f t="shared" si="6"/>
        <v>53358.700000000004</v>
      </c>
      <c r="I17" s="36">
        <f t="shared" si="7"/>
        <v>51738.97</v>
      </c>
      <c r="J17" s="36">
        <f t="shared" si="8"/>
        <v>50114.799999999996</v>
      </c>
      <c r="K17" s="36">
        <f t="shared" si="9"/>
        <v>48497.31</v>
      </c>
      <c r="L17" s="37">
        <v>46930</v>
      </c>
      <c r="M17" s="36">
        <f>VLOOKUP($C17,$AS:$AT,2,0)-46930</f>
        <v>11318.970000000016</v>
      </c>
      <c r="N17" s="38">
        <f t="shared" si="4"/>
        <v>367461.09</v>
      </c>
      <c r="Q17" t="str">
        <f t="shared" si="2"/>
        <v>P-218/2008 Sporta laukuma rekonstrukcijai</v>
      </c>
      <c r="R17" t="str">
        <f t="shared" si="3"/>
        <v>19.06.2008</v>
      </c>
      <c r="U17" s="8" t="s">
        <v>53</v>
      </c>
      <c r="V17" s="9" t="s">
        <v>300</v>
      </c>
      <c r="W17" s="8" t="s">
        <v>53</v>
      </c>
      <c r="X17" s="13" t="s">
        <v>301</v>
      </c>
      <c r="Z17" s="1" t="s">
        <v>22</v>
      </c>
      <c r="AA17" s="1" t="s">
        <v>23</v>
      </c>
      <c r="AB17" s="2">
        <v>3284.7</v>
      </c>
      <c r="AD17" s="1" t="s">
        <v>26</v>
      </c>
      <c r="AE17" s="1" t="s">
        <v>27</v>
      </c>
      <c r="AF17" s="2">
        <v>7657.49</v>
      </c>
      <c r="AH17" s="1" t="s">
        <v>28</v>
      </c>
      <c r="AI17" s="1" t="s">
        <v>29</v>
      </c>
      <c r="AJ17" s="2">
        <v>55933.97</v>
      </c>
      <c r="AL17" s="1" t="s">
        <v>32</v>
      </c>
      <c r="AM17" s="1" t="s">
        <v>33</v>
      </c>
      <c r="AN17" s="2">
        <v>32426.01</v>
      </c>
      <c r="AP17" s="1" t="s">
        <v>38</v>
      </c>
      <c r="AQ17" s="1" t="s">
        <v>39</v>
      </c>
      <c r="AR17" s="2">
        <v>45874.619999999995</v>
      </c>
      <c r="AS17" s="1" t="s">
        <v>39</v>
      </c>
      <c r="AT17" s="2">
        <v>76647.900000000009</v>
      </c>
    </row>
    <row r="18" spans="1:46" ht="20.25" customHeight="1" x14ac:dyDescent="0.3">
      <c r="A18" s="42">
        <v>13</v>
      </c>
      <c r="B18" s="26" t="s">
        <v>20</v>
      </c>
      <c r="C18" s="26" t="s">
        <v>21</v>
      </c>
      <c r="D18" s="28" t="s">
        <v>402</v>
      </c>
      <c r="E18" s="29" t="s">
        <v>403</v>
      </c>
      <c r="F18" s="27">
        <v>36537</v>
      </c>
      <c r="G18" s="36">
        <f t="shared" si="5"/>
        <v>38689.040000000001</v>
      </c>
      <c r="H18" s="36">
        <f t="shared" si="6"/>
        <v>37679.82</v>
      </c>
      <c r="I18" s="36">
        <f t="shared" si="7"/>
        <v>36593.899999999994</v>
      </c>
      <c r="J18" s="36">
        <f t="shared" si="8"/>
        <v>35505.03</v>
      </c>
      <c r="K18" s="36">
        <f t="shared" si="9"/>
        <v>34425.81</v>
      </c>
      <c r="L18" s="37">
        <v>33313</v>
      </c>
      <c r="M18" s="36">
        <f>VLOOKUP($C18,$AS:$AT,2,0)-33313</f>
        <v>63415.520000000019</v>
      </c>
      <c r="N18" s="38">
        <f t="shared" si="4"/>
        <v>316159.12</v>
      </c>
      <c r="Q18" t="e">
        <f t="shared" si="2"/>
        <v>#N/A</v>
      </c>
      <c r="R18" t="e">
        <f t="shared" si="3"/>
        <v>#N/A</v>
      </c>
      <c r="U18" s="8" t="s">
        <v>61</v>
      </c>
      <c r="V18" s="9" t="s">
        <v>302</v>
      </c>
      <c r="W18" s="8" t="s">
        <v>61</v>
      </c>
      <c r="X18" s="13" t="s">
        <v>303</v>
      </c>
      <c r="Z18" s="1" t="s">
        <v>24</v>
      </c>
      <c r="AA18" s="1" t="s">
        <v>25</v>
      </c>
      <c r="AB18" s="2">
        <v>9362.8799999999992</v>
      </c>
      <c r="AD18" s="1" t="s">
        <v>28</v>
      </c>
      <c r="AE18" s="1" t="s">
        <v>29</v>
      </c>
      <c r="AF18" s="2">
        <v>57593.86</v>
      </c>
      <c r="AH18" s="1" t="s">
        <v>30</v>
      </c>
      <c r="AI18" s="1" t="s">
        <v>31</v>
      </c>
      <c r="AJ18" s="2">
        <v>1673.43</v>
      </c>
      <c r="AL18" s="1" t="s">
        <v>34</v>
      </c>
      <c r="AM18" s="1" t="s">
        <v>35</v>
      </c>
      <c r="AN18" s="2">
        <v>14971.499999999998</v>
      </c>
      <c r="AP18" s="1" t="s">
        <v>40</v>
      </c>
      <c r="AQ18" s="1" t="s">
        <v>41</v>
      </c>
      <c r="AR18" s="2">
        <v>74223.490000000005</v>
      </c>
      <c r="AS18" s="1" t="s">
        <v>41</v>
      </c>
      <c r="AT18" s="2">
        <v>36288.889999999985</v>
      </c>
    </row>
    <row r="19" spans="1:46" ht="20.25" customHeight="1" x14ac:dyDescent="0.3">
      <c r="A19" s="42">
        <v>14</v>
      </c>
      <c r="B19" s="26" t="s">
        <v>22</v>
      </c>
      <c r="C19" s="26" t="s">
        <v>23</v>
      </c>
      <c r="D19" s="28" t="s">
        <v>421</v>
      </c>
      <c r="E19" s="29" t="s">
        <v>422</v>
      </c>
      <c r="F19" s="27">
        <v>3041</v>
      </c>
      <c r="G19" s="36">
        <f t="shared" si="5"/>
        <v>3284.7</v>
      </c>
      <c r="H19" s="36">
        <f t="shared" si="6"/>
        <v>3184.1899999999996</v>
      </c>
      <c r="I19" s="36">
        <f t="shared" si="7"/>
        <v>3085.2499999999995</v>
      </c>
      <c r="J19" s="36">
        <f t="shared" si="8"/>
        <v>2986.04</v>
      </c>
      <c r="K19" s="36">
        <f t="shared" si="9"/>
        <v>2887.02</v>
      </c>
      <c r="L19" s="37">
        <v>1375</v>
      </c>
      <c r="M19" s="36">
        <v>0</v>
      </c>
      <c r="N19" s="38">
        <f t="shared" si="4"/>
        <v>19843.2</v>
      </c>
      <c r="Q19" t="e">
        <f t="shared" si="2"/>
        <v>#N/A</v>
      </c>
      <c r="R19" t="e">
        <f t="shared" si="3"/>
        <v>#N/A</v>
      </c>
      <c r="U19" s="8" t="s">
        <v>273</v>
      </c>
      <c r="V19" s="9" t="s">
        <v>304</v>
      </c>
      <c r="W19" s="8" t="s">
        <v>273</v>
      </c>
      <c r="X19" s="13" t="s">
        <v>305</v>
      </c>
      <c r="Z19" s="1" t="s">
        <v>26</v>
      </c>
      <c r="AA19" s="1" t="s">
        <v>27</v>
      </c>
      <c r="AB19" s="2">
        <v>7986.3499999999995</v>
      </c>
      <c r="AD19" s="1" t="s">
        <v>30</v>
      </c>
      <c r="AE19" s="1" t="s">
        <v>31</v>
      </c>
      <c r="AF19" s="2">
        <v>1746.4399999999998</v>
      </c>
      <c r="AH19" s="1" t="s">
        <v>32</v>
      </c>
      <c r="AI19" s="1" t="s">
        <v>33</v>
      </c>
      <c r="AJ19" s="2">
        <v>33476.879999999997</v>
      </c>
      <c r="AL19" s="1" t="s">
        <v>38</v>
      </c>
      <c r="AM19" s="1" t="s">
        <v>39</v>
      </c>
      <c r="AN19" s="2">
        <v>47377.22</v>
      </c>
      <c r="AP19" s="1" t="s">
        <v>42</v>
      </c>
      <c r="AQ19" s="1" t="s">
        <v>43</v>
      </c>
      <c r="AR19" s="2">
        <v>10946.92</v>
      </c>
      <c r="AS19" s="1" t="s">
        <v>43</v>
      </c>
      <c r="AT19" s="2">
        <v>20835.509999999995</v>
      </c>
    </row>
    <row r="20" spans="1:46" ht="20.25" customHeight="1" x14ac:dyDescent="0.3">
      <c r="A20" s="42">
        <v>15</v>
      </c>
      <c r="B20" s="26" t="s">
        <v>24</v>
      </c>
      <c r="C20" s="26" t="s">
        <v>25</v>
      </c>
      <c r="D20" s="34" t="str">
        <f t="shared" ref="D20:D25" si="10">VLOOKUP($C20,$U:$X,2,0)</f>
        <v>Taurenes pagasta saieta nama vienkāšotā  rekonstrukcija</v>
      </c>
      <c r="E20" s="34" t="str">
        <f t="shared" ref="E20:E25" si="11">VLOOKUP($C20,$W:$X,2,0)</f>
        <v>24.09.2009</v>
      </c>
      <c r="F20" s="27">
        <v>9075</v>
      </c>
      <c r="G20" s="36">
        <f t="shared" si="5"/>
        <v>9362.8799999999992</v>
      </c>
      <c r="H20" s="36">
        <f t="shared" si="6"/>
        <v>8984.74</v>
      </c>
      <c r="I20" s="36">
        <f t="shared" si="7"/>
        <v>8612.7200000000012</v>
      </c>
      <c r="J20" s="36">
        <f t="shared" si="8"/>
        <v>8239.7000000000007</v>
      </c>
      <c r="K20" s="36">
        <f t="shared" si="9"/>
        <v>7867.67</v>
      </c>
      <c r="L20" s="37">
        <v>5659</v>
      </c>
      <c r="M20" s="36">
        <v>0</v>
      </c>
      <c r="N20" s="38">
        <f t="shared" si="4"/>
        <v>57801.709999999992</v>
      </c>
      <c r="Q20" t="str">
        <f t="shared" si="2"/>
        <v>Taurenes pagasta saieta nama vienkāšotā  rekonstrukcija</v>
      </c>
      <c r="R20" t="str">
        <f t="shared" si="3"/>
        <v>24.09.2009</v>
      </c>
      <c r="U20" s="8" t="s">
        <v>59</v>
      </c>
      <c r="V20" s="9" t="s">
        <v>306</v>
      </c>
      <c r="W20" s="8" t="s">
        <v>59</v>
      </c>
      <c r="X20" s="13" t="s">
        <v>303</v>
      </c>
      <c r="Z20" s="1" t="s">
        <v>28</v>
      </c>
      <c r="AA20" s="1" t="s">
        <v>29</v>
      </c>
      <c r="AB20" s="2">
        <v>59291.32</v>
      </c>
      <c r="AD20" s="1" t="s">
        <v>32</v>
      </c>
      <c r="AE20" s="1" t="s">
        <v>33</v>
      </c>
      <c r="AF20" s="2">
        <v>34524.810000000005</v>
      </c>
      <c r="AH20" s="1" t="s">
        <v>34</v>
      </c>
      <c r="AI20" s="1" t="s">
        <v>35</v>
      </c>
      <c r="AJ20" s="2">
        <v>15468.82</v>
      </c>
      <c r="AL20" s="1" t="s">
        <v>40</v>
      </c>
      <c r="AM20" s="1" t="s">
        <v>41</v>
      </c>
      <c r="AN20" s="2">
        <v>76767.98</v>
      </c>
      <c r="AP20" s="1" t="s">
        <v>44</v>
      </c>
      <c r="AQ20" s="1" t="s">
        <v>45</v>
      </c>
      <c r="AR20" s="2">
        <v>52499.630000000005</v>
      </c>
      <c r="AS20" s="1" t="s">
        <v>45</v>
      </c>
      <c r="AT20" s="2">
        <v>147583.15</v>
      </c>
    </row>
    <row r="21" spans="1:46" ht="20.25" customHeight="1" x14ac:dyDescent="0.3">
      <c r="A21" s="42">
        <v>16</v>
      </c>
      <c r="B21" s="26" t="s">
        <v>26</v>
      </c>
      <c r="C21" s="26" t="s">
        <v>27</v>
      </c>
      <c r="D21" s="34" t="str">
        <f t="shared" si="10"/>
        <v>Alternatīvās dienas aprūpes centrs "Rudiņi" vienkāšotā rekonstrukcija</v>
      </c>
      <c r="E21" s="34" t="str">
        <f t="shared" si="11"/>
        <v>01.10.2009</v>
      </c>
      <c r="F21" s="27">
        <v>7736</v>
      </c>
      <c r="G21" s="36">
        <f t="shared" si="5"/>
        <v>7986.3499999999995</v>
      </c>
      <c r="H21" s="36">
        <f t="shared" si="6"/>
        <v>7657.49</v>
      </c>
      <c r="I21" s="36">
        <f t="shared" si="7"/>
        <v>7334</v>
      </c>
      <c r="J21" s="36">
        <f t="shared" si="8"/>
        <v>7009.5599999999995</v>
      </c>
      <c r="K21" s="36">
        <f t="shared" si="9"/>
        <v>6686.03</v>
      </c>
      <c r="L21" s="37">
        <v>4805</v>
      </c>
      <c r="M21" s="36">
        <v>0</v>
      </c>
      <c r="N21" s="38">
        <f t="shared" si="4"/>
        <v>49214.429999999993</v>
      </c>
      <c r="Q21" t="str">
        <f t="shared" si="2"/>
        <v>Alternatīvās dienas aprūpes centrs "Rudiņi" vienkāšotā rekonstrukcija</v>
      </c>
      <c r="R21" t="str">
        <f t="shared" si="3"/>
        <v>01.10.2009</v>
      </c>
      <c r="U21" s="8" t="s">
        <v>57</v>
      </c>
      <c r="V21" s="9" t="s">
        <v>307</v>
      </c>
      <c r="W21" s="8" t="s">
        <v>57</v>
      </c>
      <c r="X21" s="13" t="s">
        <v>303</v>
      </c>
      <c r="Z21" s="1" t="s">
        <v>30</v>
      </c>
      <c r="AA21" s="1" t="s">
        <v>31</v>
      </c>
      <c r="AB21" s="2">
        <v>1820.71</v>
      </c>
      <c r="AD21" s="1" t="s">
        <v>34</v>
      </c>
      <c r="AE21" s="1" t="s">
        <v>35</v>
      </c>
      <c r="AF21" s="2">
        <v>15964.779999999999</v>
      </c>
      <c r="AH21" s="1" t="s">
        <v>38</v>
      </c>
      <c r="AI21" s="1" t="s">
        <v>39</v>
      </c>
      <c r="AJ21" s="2">
        <v>48888.079999999994</v>
      </c>
      <c r="AL21" s="1" t="s">
        <v>42</v>
      </c>
      <c r="AM21" s="1" t="s">
        <v>43</v>
      </c>
      <c r="AN21" s="2">
        <v>11302.26</v>
      </c>
      <c r="AP21" s="1" t="s">
        <v>48</v>
      </c>
      <c r="AQ21" s="1" t="s">
        <v>49</v>
      </c>
      <c r="AR21" s="2">
        <v>4397.9399999999996</v>
      </c>
      <c r="AS21" s="1" t="s">
        <v>49</v>
      </c>
      <c r="AT21" s="2">
        <v>10294.730000000003</v>
      </c>
    </row>
    <row r="22" spans="1:46" ht="20.25" customHeight="1" x14ac:dyDescent="0.3">
      <c r="A22" s="42">
        <v>17</v>
      </c>
      <c r="B22" s="26" t="s">
        <v>28</v>
      </c>
      <c r="C22" s="26" t="s">
        <v>29</v>
      </c>
      <c r="D22" s="34" t="str">
        <f t="shared" si="10"/>
        <v>P-366/2009 Valsts budžeta līdzfinans.   inv.pr."Jaunas pirmsskolas izglīt.iest.būvniecība Cēsīs"</v>
      </c>
      <c r="E22" s="34" t="str">
        <f t="shared" si="11"/>
        <v>10.12.2009</v>
      </c>
      <c r="F22" s="27">
        <v>53241</v>
      </c>
      <c r="G22" s="36">
        <f t="shared" si="5"/>
        <v>59291.32</v>
      </c>
      <c r="H22" s="36">
        <f t="shared" si="6"/>
        <v>57593.86</v>
      </c>
      <c r="I22" s="36">
        <f t="shared" si="7"/>
        <v>55933.97</v>
      </c>
      <c r="J22" s="36">
        <f t="shared" si="8"/>
        <v>54269.52</v>
      </c>
      <c r="K22" s="36">
        <f t="shared" si="9"/>
        <v>52619.86</v>
      </c>
      <c r="L22" s="37">
        <f t="shared" ref="L22:L81" si="12">K22*0.9677</f>
        <v>50920.238522</v>
      </c>
      <c r="M22" s="36">
        <f>VLOOKUP($C22,$AS:$AT,2,0)-50920</f>
        <v>96924.840000000026</v>
      </c>
      <c r="N22" s="38">
        <f t="shared" si="4"/>
        <v>480794.60852199997</v>
      </c>
      <c r="Q22" t="str">
        <f t="shared" si="2"/>
        <v>P-366/2009 Valsts budžeta līdzfinans.   inv.pr."Jaunas pirmsskolas izglīt.iest.būvniecība Cēsīs"</v>
      </c>
      <c r="R22" t="str">
        <f t="shared" si="3"/>
        <v>10.12.2009</v>
      </c>
      <c r="U22" s="8" t="s">
        <v>9</v>
      </c>
      <c r="V22" s="9" t="s">
        <v>308</v>
      </c>
      <c r="W22" s="8" t="s">
        <v>9</v>
      </c>
      <c r="X22" s="13" t="s">
        <v>309</v>
      </c>
      <c r="Z22" s="1" t="s">
        <v>32</v>
      </c>
      <c r="AA22" s="1" t="s">
        <v>33</v>
      </c>
      <c r="AB22" s="2">
        <v>35591.51</v>
      </c>
      <c r="AD22" s="1" t="s">
        <v>36</v>
      </c>
      <c r="AE22" s="1" t="s">
        <v>37</v>
      </c>
      <c r="AF22" s="2">
        <v>20364.940000000006</v>
      </c>
      <c r="AH22" s="1" t="s">
        <v>40</v>
      </c>
      <c r="AI22" s="1" t="s">
        <v>41</v>
      </c>
      <c r="AJ22" s="2">
        <v>79317.710000000006</v>
      </c>
      <c r="AL22" s="1" t="s">
        <v>44</v>
      </c>
      <c r="AM22" s="1" t="s">
        <v>45</v>
      </c>
      <c r="AN22" s="2">
        <v>54145.380000000005</v>
      </c>
      <c r="AP22" s="1" t="s">
        <v>56</v>
      </c>
      <c r="AQ22" s="1" t="s">
        <v>57</v>
      </c>
      <c r="AR22" s="2">
        <v>34806.25</v>
      </c>
      <c r="AS22" s="1" t="s">
        <v>57</v>
      </c>
      <c r="AT22" s="2">
        <v>158495.43999999997</v>
      </c>
    </row>
    <row r="23" spans="1:46" ht="20.25" customHeight="1" x14ac:dyDescent="0.3">
      <c r="A23" s="42">
        <v>18</v>
      </c>
      <c r="B23" s="26" t="s">
        <v>30</v>
      </c>
      <c r="C23" s="26" t="s">
        <v>31</v>
      </c>
      <c r="D23" s="34" t="str">
        <f t="shared" si="10"/>
        <v>Vecpiebalgas pagasta sporta zāles vienkāšotā rekonstrukcija</v>
      </c>
      <c r="E23" s="34" t="str">
        <f t="shared" si="11"/>
        <v>21.12.2009</v>
      </c>
      <c r="F23" s="27">
        <v>1760</v>
      </c>
      <c r="G23" s="36">
        <f t="shared" si="5"/>
        <v>1820.71</v>
      </c>
      <c r="H23" s="36">
        <f t="shared" si="6"/>
        <v>1746.4399999999998</v>
      </c>
      <c r="I23" s="36">
        <f t="shared" si="7"/>
        <v>1673.43</v>
      </c>
      <c r="J23" s="36">
        <f t="shared" si="8"/>
        <v>1600.22</v>
      </c>
      <c r="K23" s="36">
        <f t="shared" si="9"/>
        <v>1527.24</v>
      </c>
      <c r="L23" s="37">
        <v>1458</v>
      </c>
      <c r="M23" s="36">
        <v>0</v>
      </c>
      <c r="N23" s="38">
        <f t="shared" si="4"/>
        <v>11586.039999999999</v>
      </c>
      <c r="Q23" t="str">
        <f t="shared" si="2"/>
        <v>Vecpiebalgas pagasta sporta zāles vienkāšotā rekonstrukcija</v>
      </c>
      <c r="R23" t="str">
        <f t="shared" si="3"/>
        <v>21.12.2009</v>
      </c>
      <c r="U23" s="8" t="s">
        <v>51</v>
      </c>
      <c r="V23" s="9" t="s">
        <v>310</v>
      </c>
      <c r="W23" s="8" t="s">
        <v>51</v>
      </c>
      <c r="X23" s="13" t="s">
        <v>311</v>
      </c>
      <c r="Z23" s="1" t="s">
        <v>34</v>
      </c>
      <c r="AA23" s="1" t="s">
        <v>35</v>
      </c>
      <c r="AB23" s="2">
        <v>16468.55</v>
      </c>
      <c r="AD23" s="1" t="s">
        <v>38</v>
      </c>
      <c r="AE23" s="1" t="s">
        <v>39</v>
      </c>
      <c r="AF23" s="2">
        <v>50394.82</v>
      </c>
      <c r="AH23" s="1" t="s">
        <v>42</v>
      </c>
      <c r="AI23" s="1" t="s">
        <v>43</v>
      </c>
      <c r="AJ23" s="2">
        <v>11659.859999999999</v>
      </c>
      <c r="AL23" s="1" t="s">
        <v>48</v>
      </c>
      <c r="AM23" s="1" t="s">
        <v>49</v>
      </c>
      <c r="AN23" s="2">
        <v>4538.3099999999995</v>
      </c>
      <c r="AP23" s="1" t="s">
        <v>58</v>
      </c>
      <c r="AQ23" s="1" t="s">
        <v>59</v>
      </c>
      <c r="AR23" s="2">
        <v>118075.26</v>
      </c>
      <c r="AS23" s="1" t="s">
        <v>59</v>
      </c>
      <c r="AT23" s="2">
        <v>251821.99000000005</v>
      </c>
    </row>
    <row r="24" spans="1:46" ht="20.25" customHeight="1" x14ac:dyDescent="0.3">
      <c r="A24" s="42">
        <v>19</v>
      </c>
      <c r="B24" s="26" t="s">
        <v>32</v>
      </c>
      <c r="C24" s="26" t="s">
        <v>33</v>
      </c>
      <c r="D24" s="34" t="str">
        <f t="shared" si="10"/>
        <v>ELFLA projekta "Līgatnes pamatskolas sporta zāles celtniecība" īstenošanai P-3/2010</v>
      </c>
      <c r="E24" s="34" t="str">
        <f t="shared" si="11"/>
        <v>12.02.2010</v>
      </c>
      <c r="F24" s="27">
        <v>33481</v>
      </c>
      <c r="G24" s="36">
        <f t="shared" si="5"/>
        <v>35591.51</v>
      </c>
      <c r="H24" s="36">
        <f t="shared" si="6"/>
        <v>34524.810000000005</v>
      </c>
      <c r="I24" s="36">
        <f t="shared" si="7"/>
        <v>33476.879999999997</v>
      </c>
      <c r="J24" s="36">
        <f t="shared" si="8"/>
        <v>32426.01</v>
      </c>
      <c r="K24" s="36">
        <f t="shared" si="9"/>
        <v>31379.47</v>
      </c>
      <c r="L24" s="37">
        <f t="shared" si="12"/>
        <v>30365.913119000001</v>
      </c>
      <c r="M24" s="36">
        <f>VLOOKUP($C24,$AS:$AT,2,0)-30366</f>
        <v>7358.1699999999983</v>
      </c>
      <c r="N24" s="38">
        <f t="shared" si="4"/>
        <v>238603.76311900001</v>
      </c>
      <c r="Q24" t="str">
        <f t="shared" si="2"/>
        <v>ELFLA projekta "Līgatnes pamatskolas sporta zāles celtniecība" īstenošanai P-3/2010</v>
      </c>
      <c r="R24" t="str">
        <f t="shared" si="3"/>
        <v>12.02.2010</v>
      </c>
      <c r="U24" s="8" t="s">
        <v>41</v>
      </c>
      <c r="V24" s="9" t="s">
        <v>312</v>
      </c>
      <c r="W24" s="8" t="s">
        <v>41</v>
      </c>
      <c r="X24" s="13" t="s">
        <v>313</v>
      </c>
      <c r="Z24" s="1" t="s">
        <v>36</v>
      </c>
      <c r="AA24" s="1" t="s">
        <v>37</v>
      </c>
      <c r="AB24" s="2">
        <v>41783.120000000003</v>
      </c>
      <c r="AD24" s="1" t="s">
        <v>40</v>
      </c>
      <c r="AE24" s="1" t="s">
        <v>41</v>
      </c>
      <c r="AF24" s="2">
        <v>81860.44</v>
      </c>
      <c r="AH24" s="1" t="s">
        <v>44</v>
      </c>
      <c r="AI24" s="1" t="s">
        <v>45</v>
      </c>
      <c r="AJ24" s="2">
        <v>55805.97</v>
      </c>
      <c r="AL24" s="1" t="s">
        <v>54</v>
      </c>
      <c r="AM24" s="1" t="s">
        <v>55</v>
      </c>
      <c r="AN24" s="2">
        <v>7772.16</v>
      </c>
      <c r="AP24" s="1" t="s">
        <v>60</v>
      </c>
      <c r="AQ24" s="1" t="s">
        <v>61</v>
      </c>
      <c r="AR24" s="2">
        <v>60646.950000000004</v>
      </c>
      <c r="AS24" s="1" t="s">
        <v>61</v>
      </c>
      <c r="AT24" s="2">
        <v>276164.94</v>
      </c>
    </row>
    <row r="25" spans="1:46" ht="20.25" customHeight="1" x14ac:dyDescent="0.3">
      <c r="A25" s="42">
        <v>20</v>
      </c>
      <c r="B25" s="26" t="s">
        <v>34</v>
      </c>
      <c r="C25" s="26" t="s">
        <v>35</v>
      </c>
      <c r="D25" s="34" t="str">
        <f t="shared" si="10"/>
        <v>P-50/2010-ERAf pr."Cēsu pils.PII renovācija"</v>
      </c>
      <c r="E25" s="34" t="str">
        <f t="shared" si="11"/>
        <v>01.04.2010</v>
      </c>
      <c r="F25" s="27">
        <v>15505</v>
      </c>
      <c r="G25" s="36">
        <f t="shared" si="5"/>
        <v>16468.55</v>
      </c>
      <c r="H25" s="36">
        <f t="shared" si="6"/>
        <v>15964.779999999999</v>
      </c>
      <c r="I25" s="36">
        <f t="shared" si="7"/>
        <v>15468.82</v>
      </c>
      <c r="J25" s="36">
        <f t="shared" si="8"/>
        <v>14971.499999999998</v>
      </c>
      <c r="K25" s="36">
        <f t="shared" si="9"/>
        <v>14475.199999999999</v>
      </c>
      <c r="L25" s="37">
        <v>7024</v>
      </c>
      <c r="M25" s="36">
        <v>0</v>
      </c>
      <c r="N25" s="38">
        <f t="shared" si="4"/>
        <v>99877.849999999991</v>
      </c>
      <c r="Q25" t="str">
        <f t="shared" si="2"/>
        <v>P-50/2010-ERAf pr."Cēsu pils.PII renovācija"</v>
      </c>
      <c r="R25" t="str">
        <f t="shared" si="3"/>
        <v>01.04.2010</v>
      </c>
      <c r="U25" s="8" t="s">
        <v>35</v>
      </c>
      <c r="V25" s="9" t="s">
        <v>314</v>
      </c>
      <c r="W25" s="8" t="s">
        <v>35</v>
      </c>
      <c r="X25" s="13" t="s">
        <v>315</v>
      </c>
      <c r="Z25" s="1" t="s">
        <v>38</v>
      </c>
      <c r="AA25" s="1" t="s">
        <v>39</v>
      </c>
      <c r="AB25" s="2">
        <v>51930.51</v>
      </c>
      <c r="AD25" s="1" t="s">
        <v>42</v>
      </c>
      <c r="AE25" s="1" t="s">
        <v>43</v>
      </c>
      <c r="AF25" s="2">
        <v>12016.46</v>
      </c>
      <c r="AH25" s="1" t="s">
        <v>46</v>
      </c>
      <c r="AI25" s="1" t="s">
        <v>47</v>
      </c>
      <c r="AJ25" s="2">
        <v>8672.5499999999993</v>
      </c>
      <c r="AL25" s="1" t="s">
        <v>56</v>
      </c>
      <c r="AM25" s="1" t="s">
        <v>57</v>
      </c>
      <c r="AN25" s="2">
        <v>35826.649999999994</v>
      </c>
      <c r="AP25" s="1" t="s">
        <v>62</v>
      </c>
      <c r="AQ25" s="1" t="s">
        <v>63</v>
      </c>
      <c r="AR25" s="2">
        <v>27655.1</v>
      </c>
      <c r="AS25" s="1" t="s">
        <v>63</v>
      </c>
      <c r="AT25" s="2">
        <v>102153.98000000001</v>
      </c>
    </row>
    <row r="26" spans="1:46" ht="20.25" customHeight="1" x14ac:dyDescent="0.3">
      <c r="A26" s="42">
        <v>21</v>
      </c>
      <c r="B26" s="26" t="s">
        <v>36</v>
      </c>
      <c r="C26" s="26" t="s">
        <v>37</v>
      </c>
      <c r="D26" s="28" t="s">
        <v>425</v>
      </c>
      <c r="E26" s="29" t="s">
        <v>426</v>
      </c>
      <c r="F26" s="27">
        <v>41249</v>
      </c>
      <c r="G26" s="36">
        <f t="shared" si="5"/>
        <v>41783.120000000003</v>
      </c>
      <c r="H26" s="36">
        <f t="shared" si="6"/>
        <v>20364.940000000006</v>
      </c>
      <c r="I26" s="36">
        <v>0</v>
      </c>
      <c r="J26" s="36">
        <v>0</v>
      </c>
      <c r="K26" s="36">
        <v>0</v>
      </c>
      <c r="L26" s="37">
        <f t="shared" si="12"/>
        <v>0</v>
      </c>
      <c r="M26" s="36">
        <v>0</v>
      </c>
      <c r="N26" s="38">
        <f t="shared" si="4"/>
        <v>103397.06</v>
      </c>
      <c r="Q26" t="e">
        <f t="shared" si="2"/>
        <v>#N/A</v>
      </c>
      <c r="R26" t="e">
        <f t="shared" si="3"/>
        <v>#N/A</v>
      </c>
      <c r="U26" s="8" t="s">
        <v>43</v>
      </c>
      <c r="V26" s="9" t="s">
        <v>316</v>
      </c>
      <c r="W26" s="8" t="s">
        <v>43</v>
      </c>
      <c r="X26" s="13" t="s">
        <v>317</v>
      </c>
      <c r="Z26" s="1" t="s">
        <v>40</v>
      </c>
      <c r="AA26" s="1" t="s">
        <v>41</v>
      </c>
      <c r="AB26" s="2">
        <v>84314.010000000009</v>
      </c>
      <c r="AD26" s="1" t="s">
        <v>44</v>
      </c>
      <c r="AE26" s="1" t="s">
        <v>45</v>
      </c>
      <c r="AF26" s="2">
        <v>57461.95</v>
      </c>
      <c r="AH26" s="1" t="s">
        <v>48</v>
      </c>
      <c r="AI26" s="1" t="s">
        <v>49</v>
      </c>
      <c r="AJ26" s="2">
        <v>4679.76</v>
      </c>
      <c r="AL26" s="1" t="s">
        <v>58</v>
      </c>
      <c r="AM26" s="1" t="s">
        <v>59</v>
      </c>
      <c r="AN26" s="2">
        <v>121874.75</v>
      </c>
      <c r="AP26" s="1" t="s">
        <v>66</v>
      </c>
      <c r="AQ26" s="1" t="s">
        <v>67</v>
      </c>
      <c r="AR26" s="2">
        <v>31071.800000000003</v>
      </c>
      <c r="AS26" s="1" t="s">
        <v>67</v>
      </c>
      <c r="AT26" s="2">
        <v>7657.2200000000012</v>
      </c>
    </row>
    <row r="27" spans="1:46" ht="20.25" customHeight="1" x14ac:dyDescent="0.3">
      <c r="A27" s="42">
        <v>22</v>
      </c>
      <c r="B27" s="26" t="s">
        <v>38</v>
      </c>
      <c r="C27" s="26" t="s">
        <v>39</v>
      </c>
      <c r="D27" s="28" t="s">
        <v>423</v>
      </c>
      <c r="E27" s="29" t="s">
        <v>424</v>
      </c>
      <c r="F27" s="27">
        <v>46386</v>
      </c>
      <c r="G27" s="36">
        <f t="shared" si="5"/>
        <v>51930.51</v>
      </c>
      <c r="H27" s="36">
        <f t="shared" si="6"/>
        <v>50394.82</v>
      </c>
      <c r="I27" s="36">
        <f t="shared" ref="I27:I33" si="13">VLOOKUP($C27,$AI:$AJ,2,0)</f>
        <v>48888.079999999994</v>
      </c>
      <c r="J27" s="36">
        <f>VLOOKUP($C27,$AM:$AN,2,0)</f>
        <v>47377.22</v>
      </c>
      <c r="K27" s="36">
        <f>VLOOKUP($C27,$AQ:$AR,2,0)</f>
        <v>45874.619999999995</v>
      </c>
      <c r="L27" s="37">
        <f t="shared" si="12"/>
        <v>44392.869773999999</v>
      </c>
      <c r="M27" s="36">
        <f>VLOOKUP($C27,$AS:$AT,2,0)-44393</f>
        <v>32254.900000000009</v>
      </c>
      <c r="N27" s="38">
        <f t="shared" si="4"/>
        <v>367499.01977400004</v>
      </c>
      <c r="Q27" t="e">
        <f t="shared" si="2"/>
        <v>#N/A</v>
      </c>
      <c r="R27" t="e">
        <f t="shared" si="3"/>
        <v>#N/A</v>
      </c>
      <c r="U27" s="8" t="s">
        <v>274</v>
      </c>
      <c r="V27" s="9" t="s">
        <v>318</v>
      </c>
      <c r="W27" s="8" t="s">
        <v>274</v>
      </c>
      <c r="X27" s="13" t="s">
        <v>319</v>
      </c>
      <c r="Z27" s="1" t="s">
        <v>42</v>
      </c>
      <c r="AA27" s="1" t="s">
        <v>43</v>
      </c>
      <c r="AB27" s="2">
        <v>12380.2</v>
      </c>
      <c r="AD27" s="1" t="s">
        <v>46</v>
      </c>
      <c r="AE27" s="1" t="s">
        <v>47</v>
      </c>
      <c r="AF27" s="2">
        <v>17757.150000000001</v>
      </c>
      <c r="AH27" s="1" t="s">
        <v>50</v>
      </c>
      <c r="AI27" s="1" t="s">
        <v>51</v>
      </c>
      <c r="AJ27" s="2">
        <v>7607.45</v>
      </c>
      <c r="AL27" s="1" t="s">
        <v>60</v>
      </c>
      <c r="AM27" s="1" t="s">
        <v>61</v>
      </c>
      <c r="AN27" s="2">
        <v>62424.92</v>
      </c>
      <c r="AP27" s="1" t="s">
        <v>68</v>
      </c>
      <c r="AQ27" s="1" t="s">
        <v>69</v>
      </c>
      <c r="AR27" s="2">
        <v>11878.01</v>
      </c>
      <c r="AS27" s="1" t="s">
        <v>69</v>
      </c>
      <c r="AT27" s="2">
        <v>8655.2100000000009</v>
      </c>
    </row>
    <row r="28" spans="1:46" ht="20.25" customHeight="1" x14ac:dyDescent="0.3">
      <c r="A28" s="42">
        <v>23</v>
      </c>
      <c r="B28" s="26" t="s">
        <v>40</v>
      </c>
      <c r="C28" s="26" t="s">
        <v>41</v>
      </c>
      <c r="D28" s="34" t="str">
        <f>VLOOKUP($C28,$U:$X,2,0)</f>
        <v>P-417/2010 ERAF pr."Cēsu pilsētas tranzītielas-Pētera i.rekonstrukcija"</v>
      </c>
      <c r="E28" s="34" t="str">
        <f>VLOOKUP($C28,$W:$X,2,0)</f>
        <v>22.10.2010</v>
      </c>
      <c r="F28" s="27">
        <v>80630</v>
      </c>
      <c r="G28" s="36">
        <f t="shared" si="5"/>
        <v>84314.010000000009</v>
      </c>
      <c r="H28" s="36">
        <f t="shared" si="6"/>
        <v>81860.44</v>
      </c>
      <c r="I28" s="36">
        <f t="shared" si="13"/>
        <v>79317.710000000006</v>
      </c>
      <c r="J28" s="36">
        <f>VLOOKUP($C28,$AM:$AN,2,0)</f>
        <v>76767.98</v>
      </c>
      <c r="K28" s="36">
        <f>VLOOKUP($C28,$AQ:$AR,2,0)</f>
        <v>74223.490000000005</v>
      </c>
      <c r="L28" s="37">
        <v>36289</v>
      </c>
      <c r="M28" s="36">
        <v>0</v>
      </c>
      <c r="N28" s="38">
        <f t="shared" si="4"/>
        <v>513402.63</v>
      </c>
      <c r="Q28" t="str">
        <f t="shared" si="2"/>
        <v>P-417/2010 ERAF pr."Cēsu pilsētas tranzītielas-Pētera i.rekonstrukcija"</v>
      </c>
      <c r="R28" t="str">
        <f t="shared" si="3"/>
        <v>22.10.2010</v>
      </c>
      <c r="U28" s="8" t="s">
        <v>205</v>
      </c>
      <c r="V28" s="9" t="s">
        <v>320</v>
      </c>
      <c r="W28" s="8" t="s">
        <v>205</v>
      </c>
      <c r="X28" s="14" t="s">
        <v>321</v>
      </c>
      <c r="Z28" s="1" t="s">
        <v>44</v>
      </c>
      <c r="AA28" s="1" t="s">
        <v>45</v>
      </c>
      <c r="AB28" s="2">
        <v>59155.49</v>
      </c>
      <c r="AD28" s="1" t="s">
        <v>48</v>
      </c>
      <c r="AE28" s="1" t="s">
        <v>49</v>
      </c>
      <c r="AF28" s="2">
        <v>4820.8499999999995</v>
      </c>
      <c r="AH28" s="1" t="s">
        <v>54</v>
      </c>
      <c r="AI28" s="1" t="s">
        <v>55</v>
      </c>
      <c r="AJ28" s="2">
        <v>10741.14</v>
      </c>
      <c r="AL28" s="1" t="s">
        <v>62</v>
      </c>
      <c r="AM28" s="1" t="s">
        <v>63</v>
      </c>
      <c r="AN28" s="2">
        <v>28493.09</v>
      </c>
      <c r="AP28" s="1" t="s">
        <v>70</v>
      </c>
      <c r="AQ28" s="1" t="s">
        <v>71</v>
      </c>
      <c r="AR28" s="2">
        <v>3562.2599999999998</v>
      </c>
      <c r="AS28" s="1" t="s">
        <v>71</v>
      </c>
      <c r="AT28" s="2">
        <v>4290.7200000000012</v>
      </c>
    </row>
    <row r="29" spans="1:46" ht="20.25" customHeight="1" x14ac:dyDescent="0.3">
      <c r="A29" s="42">
        <v>24</v>
      </c>
      <c r="B29" s="26" t="s">
        <v>42</v>
      </c>
      <c r="C29" s="26" t="s">
        <v>43</v>
      </c>
      <c r="D29" s="34" t="str">
        <f>VLOOKUP($C29,$U:$X,2,0)</f>
        <v xml:space="preserve">P-54/2011 ERAF pr."Cēsu pilsētas pirmsskolas izglītības iestāžu renovācijas 2.kārta" </v>
      </c>
      <c r="E29" s="34" t="str">
        <f>VLOOKUP($C29,$W:$X,2,0)</f>
        <v>20.04.2011</v>
      </c>
      <c r="F29" s="27">
        <v>11307</v>
      </c>
      <c r="G29" s="36">
        <f t="shared" si="5"/>
        <v>12380.2</v>
      </c>
      <c r="H29" s="36">
        <f t="shared" si="6"/>
        <v>12016.46</v>
      </c>
      <c r="I29" s="36">
        <f t="shared" si="13"/>
        <v>11659.859999999999</v>
      </c>
      <c r="J29" s="36">
        <f>VLOOKUP($C29,$AM:$AN,2,0)</f>
        <v>11302.26</v>
      </c>
      <c r="K29" s="36">
        <f>VLOOKUP($C29,$AQ:$AR,2,0)</f>
        <v>10946.92</v>
      </c>
      <c r="L29" s="37">
        <f t="shared" si="12"/>
        <v>10593.334484000001</v>
      </c>
      <c r="M29" s="36">
        <f>VLOOKUP($C29,$AS:$AT,2,0)-10593</f>
        <v>10242.509999999995</v>
      </c>
      <c r="N29" s="38">
        <f t="shared" si="4"/>
        <v>90448.544484000013</v>
      </c>
      <c r="Q29" t="str">
        <f t="shared" si="2"/>
        <v xml:space="preserve">P-54/2011 ERAF pr."Cēsu pilsētas pirmsskolas izglītības iestāžu renovācijas 2.kārta" </v>
      </c>
      <c r="R29" t="str">
        <f t="shared" si="3"/>
        <v>20.04.2011</v>
      </c>
      <c r="U29" s="8" t="s">
        <v>97</v>
      </c>
      <c r="V29" s="9" t="s">
        <v>322</v>
      </c>
      <c r="W29" s="8" t="s">
        <v>97</v>
      </c>
      <c r="X29" s="13" t="s">
        <v>323</v>
      </c>
      <c r="Z29" s="1" t="s">
        <v>46</v>
      </c>
      <c r="AA29" s="1" t="s">
        <v>47</v>
      </c>
      <c r="AB29" s="2">
        <v>18370.140000000003</v>
      </c>
      <c r="AD29" s="1" t="s">
        <v>50</v>
      </c>
      <c r="AE29" s="1" t="s">
        <v>51</v>
      </c>
      <c r="AF29" s="2">
        <v>15673.03</v>
      </c>
      <c r="AH29" s="1" t="s">
        <v>56</v>
      </c>
      <c r="AI29" s="1" t="s">
        <v>57</v>
      </c>
      <c r="AJ29" s="2">
        <v>36861.94</v>
      </c>
      <c r="AL29" s="1" t="s">
        <v>64</v>
      </c>
      <c r="AM29" s="1" t="s">
        <v>65</v>
      </c>
      <c r="AN29" s="2">
        <v>30004.06</v>
      </c>
      <c r="AP29" s="1" t="s">
        <v>76</v>
      </c>
      <c r="AQ29" s="1" t="s">
        <v>77</v>
      </c>
      <c r="AR29" s="2">
        <v>12865.49</v>
      </c>
      <c r="AS29" s="1" t="s">
        <v>77</v>
      </c>
      <c r="AT29" s="2">
        <v>24487.15</v>
      </c>
    </row>
    <row r="30" spans="1:46" ht="20.25" customHeight="1" x14ac:dyDescent="0.3">
      <c r="A30" s="42">
        <v>25</v>
      </c>
      <c r="B30" s="26" t="s">
        <v>44</v>
      </c>
      <c r="C30" s="26" t="s">
        <v>45</v>
      </c>
      <c r="D30" s="34" t="str">
        <f>VLOOKUP($C30,$U:$X,2,0)</f>
        <v>P-151/2011 ERAF pr."Cēsu pilsētas maģistrālo ielu rekonstrukcija"</v>
      </c>
      <c r="E30" s="34" t="str">
        <f>VLOOKUP($C30,$W:$X,2,0)</f>
        <v>10.06.2011</v>
      </c>
      <c r="F30" s="27">
        <v>52442</v>
      </c>
      <c r="G30" s="36">
        <f t="shared" si="5"/>
        <v>59155.49</v>
      </c>
      <c r="H30" s="36">
        <f t="shared" si="6"/>
        <v>57461.95</v>
      </c>
      <c r="I30" s="36">
        <f t="shared" si="13"/>
        <v>55805.97</v>
      </c>
      <c r="J30" s="36">
        <f>VLOOKUP($C30,$AM:$AN,2,0)</f>
        <v>54145.380000000005</v>
      </c>
      <c r="K30" s="36">
        <f>VLOOKUP($C30,$AQ:$AR,2,0)</f>
        <v>52499.630000000005</v>
      </c>
      <c r="L30" s="37">
        <f t="shared" si="12"/>
        <v>50803.891951000005</v>
      </c>
      <c r="M30" s="36">
        <f>VLOOKUP($C30,$AS:$AT,2,0)-50804</f>
        <v>96779.15</v>
      </c>
      <c r="N30" s="38">
        <f t="shared" si="4"/>
        <v>479093.46195100003</v>
      </c>
      <c r="Q30" t="str">
        <f t="shared" si="2"/>
        <v>P-151/2011 ERAF pr."Cēsu pilsētas maģistrālo ielu rekonstrukcija"</v>
      </c>
      <c r="R30" t="str">
        <f t="shared" si="3"/>
        <v>10.06.2011</v>
      </c>
      <c r="U30" s="8" t="s">
        <v>117</v>
      </c>
      <c r="V30" s="9" t="s">
        <v>324</v>
      </c>
      <c r="W30" s="8" t="s">
        <v>117</v>
      </c>
      <c r="X30" s="13" t="s">
        <v>325</v>
      </c>
      <c r="Z30" s="1" t="s">
        <v>48</v>
      </c>
      <c r="AA30" s="1" t="s">
        <v>49</v>
      </c>
      <c r="AB30" s="2">
        <v>4964.8900000000003</v>
      </c>
      <c r="AD30" s="1" t="s">
        <v>54</v>
      </c>
      <c r="AE30" s="1" t="s">
        <v>55</v>
      </c>
      <c r="AF30" s="2">
        <v>11106.039999999999</v>
      </c>
      <c r="AH30" s="1" t="s">
        <v>58</v>
      </c>
      <c r="AI30" s="1" t="s">
        <v>59</v>
      </c>
      <c r="AJ30" s="2">
        <v>125700.38</v>
      </c>
      <c r="AL30" s="1" t="s">
        <v>66</v>
      </c>
      <c r="AM30" s="1" t="s">
        <v>67</v>
      </c>
      <c r="AN30" s="2">
        <v>32146.99</v>
      </c>
      <c r="AP30" s="1" t="s">
        <v>78</v>
      </c>
      <c r="AQ30" s="1" t="s">
        <v>79</v>
      </c>
      <c r="AR30" s="2">
        <v>36041.370000000003</v>
      </c>
      <c r="AS30" s="1" t="s">
        <v>79</v>
      </c>
      <c r="AT30" s="2">
        <v>164119.76</v>
      </c>
    </row>
    <row r="31" spans="1:46" ht="20.25" customHeight="1" x14ac:dyDescent="0.3">
      <c r="A31" s="42">
        <v>26</v>
      </c>
      <c r="B31" s="26" t="s">
        <v>46</v>
      </c>
      <c r="C31" s="26" t="s">
        <v>47</v>
      </c>
      <c r="D31" s="28" t="s">
        <v>427</v>
      </c>
      <c r="E31" s="29" t="s">
        <v>428</v>
      </c>
      <c r="F31" s="27">
        <v>17680</v>
      </c>
      <c r="G31" s="36">
        <f t="shared" si="5"/>
        <v>18370.140000000003</v>
      </c>
      <c r="H31" s="36">
        <f t="shared" si="6"/>
        <v>17757.150000000001</v>
      </c>
      <c r="I31" s="36">
        <f t="shared" si="13"/>
        <v>8672.5499999999993</v>
      </c>
      <c r="J31" s="36">
        <v>0</v>
      </c>
      <c r="K31" s="36">
        <v>0</v>
      </c>
      <c r="L31" s="37">
        <f t="shared" si="12"/>
        <v>0</v>
      </c>
      <c r="M31" s="36">
        <v>0</v>
      </c>
      <c r="N31" s="38">
        <f t="shared" si="4"/>
        <v>62479.839999999997</v>
      </c>
      <c r="Q31" t="e">
        <f t="shared" si="2"/>
        <v>#N/A</v>
      </c>
      <c r="R31" t="e">
        <f t="shared" si="3"/>
        <v>#N/A</v>
      </c>
      <c r="U31" s="8" t="s">
        <v>275</v>
      </c>
      <c r="V31" s="9" t="s">
        <v>326</v>
      </c>
      <c r="W31" s="8" t="s">
        <v>275</v>
      </c>
      <c r="X31" s="13" t="s">
        <v>327</v>
      </c>
      <c r="Z31" s="1" t="s">
        <v>50</v>
      </c>
      <c r="AA31" s="1" t="s">
        <v>51</v>
      </c>
      <c r="AB31" s="2">
        <v>16214.11</v>
      </c>
      <c r="AD31" s="1" t="s">
        <v>56</v>
      </c>
      <c r="AE31" s="1" t="s">
        <v>57</v>
      </c>
      <c r="AF31" s="2">
        <v>37894.420000000006</v>
      </c>
      <c r="AH31" s="1" t="s">
        <v>60</v>
      </c>
      <c r="AI31" s="1" t="s">
        <v>61</v>
      </c>
      <c r="AJ31" s="2">
        <v>64228.83</v>
      </c>
      <c r="AL31" s="1" t="s">
        <v>68</v>
      </c>
      <c r="AM31" s="1" t="s">
        <v>69</v>
      </c>
      <c r="AN31" s="2">
        <v>12281.46</v>
      </c>
      <c r="AP31" s="1" t="s">
        <v>80</v>
      </c>
      <c r="AQ31" s="1" t="s">
        <v>81</v>
      </c>
      <c r="AR31" s="2">
        <v>8530.14</v>
      </c>
      <c r="AS31" s="1" t="s">
        <v>81</v>
      </c>
      <c r="AT31" s="2">
        <v>14252.280000000002</v>
      </c>
    </row>
    <row r="32" spans="1:46" ht="20.25" customHeight="1" x14ac:dyDescent="0.3">
      <c r="A32" s="42">
        <v>27</v>
      </c>
      <c r="B32" s="26" t="s">
        <v>48</v>
      </c>
      <c r="C32" s="26" t="s">
        <v>49</v>
      </c>
      <c r="D32" s="28" t="s">
        <v>435</v>
      </c>
      <c r="E32" s="29" t="s">
        <v>428</v>
      </c>
      <c r="F32" s="27">
        <v>4371</v>
      </c>
      <c r="G32" s="36">
        <f t="shared" si="5"/>
        <v>4964.8900000000003</v>
      </c>
      <c r="H32" s="36">
        <f t="shared" si="6"/>
        <v>4820.8499999999995</v>
      </c>
      <c r="I32" s="36">
        <f t="shared" si="13"/>
        <v>4679.76</v>
      </c>
      <c r="J32" s="36">
        <f>VLOOKUP($C32,$AM:$AN,2,0)</f>
        <v>4538.3099999999995</v>
      </c>
      <c r="K32" s="36">
        <f>VLOOKUP($C32,$AQ:$AR,2,0)</f>
        <v>4397.9399999999996</v>
      </c>
      <c r="L32" s="37">
        <f t="shared" si="12"/>
        <v>4255.8865379999997</v>
      </c>
      <c r="M32" s="36">
        <f>VLOOKUP($C32,$AS:$AT,2,0)-4256</f>
        <v>6038.7300000000032</v>
      </c>
      <c r="N32" s="38">
        <f t="shared" si="4"/>
        <v>38067.366538000002</v>
      </c>
      <c r="Q32" t="e">
        <f t="shared" si="2"/>
        <v>#N/A</v>
      </c>
      <c r="R32" t="e">
        <f t="shared" si="3"/>
        <v>#N/A</v>
      </c>
      <c r="U32" s="8" t="s">
        <v>91</v>
      </c>
      <c r="V32" s="9" t="s">
        <v>328</v>
      </c>
      <c r="W32" s="8" t="s">
        <v>91</v>
      </c>
      <c r="X32" s="13" t="s">
        <v>329</v>
      </c>
      <c r="Z32" s="1" t="s">
        <v>52</v>
      </c>
      <c r="AA32" s="1" t="s">
        <v>53</v>
      </c>
      <c r="AB32" s="2">
        <v>58437.61</v>
      </c>
      <c r="AD32" s="1" t="s">
        <v>58</v>
      </c>
      <c r="AE32" s="1" t="s">
        <v>59</v>
      </c>
      <c r="AF32" s="2">
        <v>129515.59</v>
      </c>
      <c r="AH32" s="1" t="s">
        <v>62</v>
      </c>
      <c r="AI32" s="1" t="s">
        <v>63</v>
      </c>
      <c r="AJ32" s="2">
        <v>29340.929999999997</v>
      </c>
      <c r="AL32" s="1" t="s">
        <v>70</v>
      </c>
      <c r="AM32" s="1" t="s">
        <v>71</v>
      </c>
      <c r="AN32" s="2">
        <v>3681.05</v>
      </c>
      <c r="AP32" s="1" t="s">
        <v>82</v>
      </c>
      <c r="AQ32" s="1" t="s">
        <v>83</v>
      </c>
      <c r="AR32" s="2">
        <v>5297.4400000000005</v>
      </c>
      <c r="AS32" s="1" t="s">
        <v>83</v>
      </c>
      <c r="AT32" s="2">
        <v>8854.48</v>
      </c>
    </row>
    <row r="33" spans="1:46" ht="20.25" customHeight="1" x14ac:dyDescent="0.3">
      <c r="A33" s="42">
        <v>28</v>
      </c>
      <c r="B33" s="26" t="s">
        <v>50</v>
      </c>
      <c r="C33" s="26" t="s">
        <v>51</v>
      </c>
      <c r="D33" s="34" t="str">
        <f t="shared" ref="D33:D42" si="14">VLOOKUP($C33,$U:$X,2,0)</f>
        <v>P-331/2011 ERAF pr."Satiksmes drošības uzlaboj.pie 3.PII"</v>
      </c>
      <c r="E33" s="34" t="str">
        <f t="shared" ref="E33:E42" si="15">VLOOKUP($C33,$W:$X,2,0)</f>
        <v>08.09.2011</v>
      </c>
      <c r="F33" s="27">
        <v>15780</v>
      </c>
      <c r="G33" s="36">
        <f t="shared" si="5"/>
        <v>16214.11</v>
      </c>
      <c r="H33" s="36">
        <f t="shared" si="6"/>
        <v>15673.03</v>
      </c>
      <c r="I33" s="36">
        <f t="shared" si="13"/>
        <v>7607.45</v>
      </c>
      <c r="J33" s="36">
        <v>0</v>
      </c>
      <c r="K33" s="36">
        <v>0</v>
      </c>
      <c r="L33" s="37">
        <f t="shared" si="12"/>
        <v>0</v>
      </c>
      <c r="M33" s="36">
        <v>0</v>
      </c>
      <c r="N33" s="38">
        <f t="shared" si="4"/>
        <v>55274.59</v>
      </c>
      <c r="Q33" t="str">
        <f t="shared" si="2"/>
        <v>P-331/2011 ERAF pr."Satiksmes drošības uzlaboj.pie 3.PII"</v>
      </c>
      <c r="R33" t="str">
        <f t="shared" si="3"/>
        <v>08.09.2011</v>
      </c>
      <c r="U33" s="8" t="s">
        <v>163</v>
      </c>
      <c r="V33" s="9" t="s">
        <v>330</v>
      </c>
      <c r="W33" s="8" t="s">
        <v>163</v>
      </c>
      <c r="X33" s="13" t="s">
        <v>331</v>
      </c>
      <c r="Z33" s="1" t="s">
        <v>54</v>
      </c>
      <c r="AA33" s="1" t="s">
        <v>55</v>
      </c>
      <c r="AB33" s="2">
        <v>11474.97</v>
      </c>
      <c r="AD33" s="1" t="s">
        <v>60</v>
      </c>
      <c r="AE33" s="1" t="s">
        <v>61</v>
      </c>
      <c r="AF33" s="2">
        <v>66027.789999999994</v>
      </c>
      <c r="AH33" s="1" t="s">
        <v>64</v>
      </c>
      <c r="AI33" s="1" t="s">
        <v>65</v>
      </c>
      <c r="AJ33" s="2">
        <v>57825.909999999996</v>
      </c>
      <c r="AL33" s="1" t="s">
        <v>74</v>
      </c>
      <c r="AM33" s="1" t="s">
        <v>75</v>
      </c>
      <c r="AN33" s="2">
        <v>9.51</v>
      </c>
      <c r="AP33" s="1" t="s">
        <v>84</v>
      </c>
      <c r="AQ33" s="1" t="s">
        <v>85</v>
      </c>
      <c r="AR33" s="2">
        <v>5909.87</v>
      </c>
      <c r="AS33" s="1" t="s">
        <v>85</v>
      </c>
      <c r="AT33" s="2">
        <v>9878.119999999999</v>
      </c>
    </row>
    <row r="34" spans="1:46" ht="20.25" customHeight="1" x14ac:dyDescent="0.3">
      <c r="A34" s="42">
        <v>29</v>
      </c>
      <c r="B34" s="26" t="s">
        <v>52</v>
      </c>
      <c r="C34" s="26" t="s">
        <v>53</v>
      </c>
      <c r="D34" s="34" t="str">
        <f t="shared" si="14"/>
        <v xml:space="preserve">P-255/2012 " Cēsu pilsētas maģistrālo ielu rekostrukcija, 2.kārta" </v>
      </c>
      <c r="E34" s="34" t="str">
        <f t="shared" si="15"/>
        <v>31.07.2012</v>
      </c>
      <c r="F34" s="27">
        <v>77604</v>
      </c>
      <c r="G34" s="36">
        <f t="shared" si="5"/>
        <v>58437.61</v>
      </c>
      <c r="H34" s="36">
        <v>0</v>
      </c>
      <c r="I34" s="36">
        <v>0</v>
      </c>
      <c r="J34" s="36">
        <v>0</v>
      </c>
      <c r="K34" s="36">
        <v>0</v>
      </c>
      <c r="L34" s="37">
        <f t="shared" si="12"/>
        <v>0</v>
      </c>
      <c r="M34" s="36">
        <v>0</v>
      </c>
      <c r="N34" s="38">
        <f t="shared" si="4"/>
        <v>136041.60999999999</v>
      </c>
      <c r="Q34" t="str">
        <f t="shared" si="2"/>
        <v xml:space="preserve">P-255/2012 " Cēsu pilsētas maģistrālo ielu rekostrukcija, 2.kārta" </v>
      </c>
      <c r="R34" t="str">
        <f t="shared" si="3"/>
        <v>31.07.2012</v>
      </c>
      <c r="U34" s="8" t="s">
        <v>213</v>
      </c>
      <c r="V34" s="9" t="s">
        <v>332</v>
      </c>
      <c r="W34" s="8" t="s">
        <v>213</v>
      </c>
      <c r="X34" s="14" t="s">
        <v>333</v>
      </c>
      <c r="Z34" s="1" t="s">
        <v>56</v>
      </c>
      <c r="AA34" s="1" t="s">
        <v>57</v>
      </c>
      <c r="AB34" s="2">
        <v>38955.9</v>
      </c>
      <c r="AD34" s="1" t="s">
        <v>62</v>
      </c>
      <c r="AE34" s="1" t="s">
        <v>63</v>
      </c>
      <c r="AF34" s="2">
        <v>30186.48</v>
      </c>
      <c r="AH34" s="1" t="s">
        <v>66</v>
      </c>
      <c r="AI34" s="1" t="s">
        <v>67</v>
      </c>
      <c r="AJ34" s="2">
        <v>33223.619999999995</v>
      </c>
      <c r="AL34" s="1" t="s">
        <v>76</v>
      </c>
      <c r="AM34" s="1" t="s">
        <v>77</v>
      </c>
      <c r="AN34" s="2">
        <v>13283.15</v>
      </c>
      <c r="AP34" s="1" t="s">
        <v>86</v>
      </c>
      <c r="AQ34" s="1" t="s">
        <v>87</v>
      </c>
      <c r="AR34" s="2">
        <v>33362.300000000003</v>
      </c>
      <c r="AS34" s="1" t="s">
        <v>87</v>
      </c>
      <c r="AT34" s="2">
        <v>213960.62</v>
      </c>
    </row>
    <row r="35" spans="1:46" ht="20.25" customHeight="1" x14ac:dyDescent="0.3">
      <c r="A35" s="42">
        <v>30</v>
      </c>
      <c r="B35" s="26" t="s">
        <v>54</v>
      </c>
      <c r="C35" s="26" t="s">
        <v>55</v>
      </c>
      <c r="D35" s="34" t="str">
        <f t="shared" si="14"/>
        <v>Rozulas ciema ūdensaimniecības attīstībai</v>
      </c>
      <c r="E35" s="34" t="str">
        <f t="shared" si="15"/>
        <v>23.08.2012</v>
      </c>
      <c r="F35" s="27">
        <v>10782</v>
      </c>
      <c r="G35" s="36">
        <f t="shared" si="5"/>
        <v>11474.97</v>
      </c>
      <c r="H35" s="36">
        <f t="shared" ref="H35:H55" si="16">VLOOKUP(C35,$AE:$AF,2,0)</f>
        <v>11106.039999999999</v>
      </c>
      <c r="I35" s="36">
        <f t="shared" ref="I35:I43" si="17">VLOOKUP($C35,$AI:$AJ,2,0)</f>
        <v>10741.14</v>
      </c>
      <c r="J35" s="36">
        <f t="shared" ref="J35:J43" si="18">VLOOKUP($C35,$AM:$AN,2,0)</f>
        <v>7772.16</v>
      </c>
      <c r="K35" s="36">
        <v>0</v>
      </c>
      <c r="L35" s="37">
        <f t="shared" si="12"/>
        <v>0</v>
      </c>
      <c r="M35" s="36">
        <v>0</v>
      </c>
      <c r="N35" s="38">
        <f t="shared" si="4"/>
        <v>51876.31</v>
      </c>
      <c r="Q35" t="str">
        <f t="shared" si="2"/>
        <v>Rozulas ciema ūdensaimniecības attīstībai</v>
      </c>
      <c r="R35" t="str">
        <f t="shared" si="3"/>
        <v>23.08.2012</v>
      </c>
      <c r="U35" s="8" t="s">
        <v>77</v>
      </c>
      <c r="V35" s="9" t="s">
        <v>334</v>
      </c>
      <c r="W35" s="8" t="s">
        <v>77</v>
      </c>
      <c r="X35" s="13" t="s">
        <v>335</v>
      </c>
      <c r="Z35" s="1" t="s">
        <v>58</v>
      </c>
      <c r="AA35" s="1" t="s">
        <v>59</v>
      </c>
      <c r="AB35" s="2">
        <v>133409.32</v>
      </c>
      <c r="AD35" s="1" t="s">
        <v>64</v>
      </c>
      <c r="AE35" s="1" t="s">
        <v>65</v>
      </c>
      <c r="AF35" s="2">
        <v>59841.54</v>
      </c>
      <c r="AH35" s="1" t="s">
        <v>68</v>
      </c>
      <c r="AI35" s="1" t="s">
        <v>69</v>
      </c>
      <c r="AJ35" s="2">
        <v>12686.03</v>
      </c>
      <c r="AL35" s="1" t="s">
        <v>78</v>
      </c>
      <c r="AM35" s="1" t="s">
        <v>79</v>
      </c>
      <c r="AN35" s="2">
        <v>37097.980000000003</v>
      </c>
      <c r="AP35" s="1" t="s">
        <v>88</v>
      </c>
      <c r="AQ35" s="1" t="s">
        <v>89</v>
      </c>
      <c r="AR35" s="2">
        <v>7082.68</v>
      </c>
      <c r="AS35" s="1" t="s">
        <v>89</v>
      </c>
      <c r="AT35" s="2">
        <v>16713.5</v>
      </c>
    </row>
    <row r="36" spans="1:46" ht="20.25" customHeight="1" x14ac:dyDescent="0.3">
      <c r="A36" s="42">
        <v>31</v>
      </c>
      <c r="B36" s="26" t="s">
        <v>56</v>
      </c>
      <c r="C36" s="26" t="s">
        <v>57</v>
      </c>
      <c r="D36" s="34" t="str">
        <f t="shared" si="14"/>
        <v>P-294/2013 ERAF pr."'Cēsu centrālās bibliotēkas ēkas renovāc.un pieej.nodrošin." īstenošanai</v>
      </c>
      <c r="E36" s="34" t="str">
        <f t="shared" si="15"/>
        <v>16.08.2013</v>
      </c>
      <c r="F36" s="27">
        <v>33036</v>
      </c>
      <c r="G36" s="36">
        <f t="shared" si="5"/>
        <v>38955.9</v>
      </c>
      <c r="H36" s="36">
        <f t="shared" si="16"/>
        <v>37894.420000000006</v>
      </c>
      <c r="I36" s="36">
        <f t="shared" si="17"/>
        <v>36861.94</v>
      </c>
      <c r="J36" s="36">
        <f t="shared" si="18"/>
        <v>35826.649999999994</v>
      </c>
      <c r="K36" s="36">
        <f>VLOOKUP($C36,$AQ:$AR,2,0)</f>
        <v>34806.25</v>
      </c>
      <c r="L36" s="37">
        <f t="shared" si="12"/>
        <v>33682.008125</v>
      </c>
      <c r="M36" s="36">
        <f>VLOOKUP($C36,$AS:$AT,2,0)-33682</f>
        <v>124813.43999999997</v>
      </c>
      <c r="N36" s="38">
        <f t="shared" si="4"/>
        <v>375876.60812499997</v>
      </c>
      <c r="Q36" t="str">
        <f t="shared" si="2"/>
        <v>P-294/2013 ERAF pr."'Cēsu centrālās bibliotēkas ēkas renovāc.un pieej.nodrošin." īstenošanai</v>
      </c>
      <c r="R36" t="str">
        <f t="shared" si="3"/>
        <v>16.08.2013</v>
      </c>
      <c r="U36" s="8" t="s">
        <v>79</v>
      </c>
      <c r="V36" s="9" t="s">
        <v>336</v>
      </c>
      <c r="W36" s="8" t="s">
        <v>79</v>
      </c>
      <c r="X36" s="13" t="s">
        <v>337</v>
      </c>
      <c r="Z36" s="1" t="s">
        <v>60</v>
      </c>
      <c r="AA36" s="1" t="s">
        <v>61</v>
      </c>
      <c r="AB36" s="2">
        <v>67877.420000000013</v>
      </c>
      <c r="AD36" s="1" t="s">
        <v>66</v>
      </c>
      <c r="AE36" s="1" t="s">
        <v>67</v>
      </c>
      <c r="AF36" s="2">
        <v>34297.310000000005</v>
      </c>
      <c r="AH36" s="1" t="s">
        <v>70</v>
      </c>
      <c r="AI36" s="1" t="s">
        <v>71</v>
      </c>
      <c r="AJ36" s="2">
        <v>3800.35</v>
      </c>
      <c r="AL36" s="1" t="s">
        <v>80</v>
      </c>
      <c r="AM36" s="1" t="s">
        <v>81</v>
      </c>
      <c r="AN36" s="2">
        <v>8809.5400000000009</v>
      </c>
      <c r="AP36" s="1" t="s">
        <v>90</v>
      </c>
      <c r="AQ36" s="1" t="s">
        <v>91</v>
      </c>
      <c r="AR36" s="2">
        <v>3039.39</v>
      </c>
      <c r="AS36" s="1" t="s">
        <v>91</v>
      </c>
      <c r="AT36" s="2">
        <v>0</v>
      </c>
    </row>
    <row r="37" spans="1:46" ht="20.25" customHeight="1" x14ac:dyDescent="0.3">
      <c r="A37" s="42">
        <v>32</v>
      </c>
      <c r="B37" s="26" t="s">
        <v>58</v>
      </c>
      <c r="C37" s="26" t="s">
        <v>59</v>
      </c>
      <c r="D37" s="34" t="str">
        <f t="shared" si="14"/>
        <v>P-292/2013-ERAF pr."Daudzf.centra "Vidzemes mūzikas un kult.centrs" izveide" īstenošanai</v>
      </c>
      <c r="E37" s="34" t="str">
        <f t="shared" si="15"/>
        <v>16.08.2013</v>
      </c>
      <c r="F37" s="27">
        <v>117982</v>
      </c>
      <c r="G37" s="36">
        <f t="shared" si="5"/>
        <v>133409.32</v>
      </c>
      <c r="H37" s="36">
        <f t="shared" si="16"/>
        <v>129515.59</v>
      </c>
      <c r="I37" s="36">
        <f t="shared" si="17"/>
        <v>125700.38</v>
      </c>
      <c r="J37" s="36">
        <f t="shared" si="18"/>
        <v>121874.75</v>
      </c>
      <c r="K37" s="36">
        <f>VLOOKUP($C37,$AQ:$AR,2,0)</f>
        <v>118075.26</v>
      </c>
      <c r="L37" s="37">
        <f t="shared" si="12"/>
        <v>114261.42910199999</v>
      </c>
      <c r="M37" s="36">
        <f>VLOOKUP($C37,$AS:$AT,2,0)-114261</f>
        <v>137560.99000000005</v>
      </c>
      <c r="N37" s="38">
        <f t="shared" si="4"/>
        <v>998379.71910200012</v>
      </c>
      <c r="Q37" t="str">
        <f t="shared" si="2"/>
        <v>P-292/2013-ERAF pr."Daudzf.centra "Vidzemes mūzikas un kult.centrs" izveide" īstenošanai</v>
      </c>
      <c r="R37" t="str">
        <f t="shared" si="3"/>
        <v>16.08.2013</v>
      </c>
      <c r="U37" s="8" t="s">
        <v>125</v>
      </c>
      <c r="V37" s="9" t="s">
        <v>338</v>
      </c>
      <c r="W37" s="8" t="s">
        <v>125</v>
      </c>
      <c r="X37" s="13" t="s">
        <v>339</v>
      </c>
      <c r="Z37" s="1" t="s">
        <v>62</v>
      </c>
      <c r="AA37" s="1" t="s">
        <v>63</v>
      </c>
      <c r="AB37" s="2">
        <v>31053.489999999998</v>
      </c>
      <c r="AD37" s="1" t="s">
        <v>68</v>
      </c>
      <c r="AE37" s="1" t="s">
        <v>69</v>
      </c>
      <c r="AF37" s="2">
        <v>13089.46</v>
      </c>
      <c r="AH37" s="1" t="s">
        <v>74</v>
      </c>
      <c r="AI37" s="1" t="s">
        <v>75</v>
      </c>
      <c r="AJ37" s="2">
        <v>4905.0300000000007</v>
      </c>
      <c r="AL37" s="1" t="s">
        <v>82</v>
      </c>
      <c r="AM37" s="1" t="s">
        <v>83</v>
      </c>
      <c r="AN37" s="2">
        <v>5470.95</v>
      </c>
      <c r="AP37" s="1" t="s">
        <v>92</v>
      </c>
      <c r="AQ37" s="1" t="s">
        <v>93</v>
      </c>
      <c r="AR37" s="2">
        <v>7207.4800000000005</v>
      </c>
      <c r="AS37" s="1" t="s">
        <v>93</v>
      </c>
      <c r="AT37" s="2">
        <v>18632.93</v>
      </c>
    </row>
    <row r="38" spans="1:46" ht="20.25" customHeight="1" x14ac:dyDescent="0.3">
      <c r="A38" s="42">
        <v>33</v>
      </c>
      <c r="B38" s="26" t="s">
        <v>60</v>
      </c>
      <c r="C38" s="26" t="s">
        <v>61</v>
      </c>
      <c r="D38" s="34" t="str">
        <f t="shared" si="14"/>
        <v>P-291/2013-ERAF pr."Daudzf.centra"Vidzemes mūzikas  un kult.centrs" izveide" īstenošanai</v>
      </c>
      <c r="E38" s="34" t="str">
        <f t="shared" si="15"/>
        <v>16.08.2013</v>
      </c>
      <c r="F38" s="27">
        <v>57562</v>
      </c>
      <c r="G38" s="36">
        <f t="shared" si="5"/>
        <v>67877.420000000013</v>
      </c>
      <c r="H38" s="36">
        <f t="shared" si="16"/>
        <v>66027.789999999994</v>
      </c>
      <c r="I38" s="36">
        <f t="shared" si="17"/>
        <v>64228.83</v>
      </c>
      <c r="J38" s="36">
        <f t="shared" si="18"/>
        <v>62424.92</v>
      </c>
      <c r="K38" s="36">
        <f>VLOOKUP($C38,$AQ:$AR,2,0)</f>
        <v>60646.950000000004</v>
      </c>
      <c r="L38" s="37">
        <f t="shared" si="12"/>
        <v>58688.053515000007</v>
      </c>
      <c r="M38" s="36">
        <f>VLOOKUP($C38,$AS:$AT,2,0)-58688</f>
        <v>217476.94</v>
      </c>
      <c r="N38" s="38">
        <f t="shared" si="4"/>
        <v>654932.90351500013</v>
      </c>
      <c r="Q38" t="str">
        <f t="shared" ref="Q38:Q69" si="19">VLOOKUP($C38,$U:$X,2,0)</f>
        <v>P-291/2013-ERAF pr."Daudzf.centra"Vidzemes mūzikas  un kult.centrs" izveide" īstenošanai</v>
      </c>
      <c r="R38" t="str">
        <f t="shared" ref="R38:R69" si="20">VLOOKUP($C38,$W:$X,2,0)</f>
        <v>16.08.2013</v>
      </c>
      <c r="U38" s="8" t="s">
        <v>179</v>
      </c>
      <c r="V38" s="9" t="s">
        <v>340</v>
      </c>
      <c r="W38" s="8" t="s">
        <v>179</v>
      </c>
      <c r="X38" s="13" t="s">
        <v>341</v>
      </c>
      <c r="Z38" s="1" t="s">
        <v>64</v>
      </c>
      <c r="AA38" s="1" t="s">
        <v>65</v>
      </c>
      <c r="AB38" s="2">
        <v>61875.14</v>
      </c>
      <c r="AD38" s="1" t="s">
        <v>70</v>
      </c>
      <c r="AE38" s="1" t="s">
        <v>71</v>
      </c>
      <c r="AF38" s="2">
        <v>3919.31</v>
      </c>
      <c r="AH38" s="1" t="s">
        <v>76</v>
      </c>
      <c r="AI38" s="1" t="s">
        <v>77</v>
      </c>
      <c r="AJ38" s="2">
        <v>13703.41</v>
      </c>
      <c r="AL38" s="1" t="s">
        <v>84</v>
      </c>
      <c r="AM38" s="1" t="s">
        <v>85</v>
      </c>
      <c r="AN38" s="2">
        <v>6103.4400000000005</v>
      </c>
      <c r="AP38" s="1" t="s">
        <v>94</v>
      </c>
      <c r="AQ38" s="1" t="s">
        <v>95</v>
      </c>
      <c r="AR38" s="2">
        <v>6394.1</v>
      </c>
      <c r="AS38" s="1" t="s">
        <v>95</v>
      </c>
      <c r="AT38" s="2">
        <v>16534.349999999999</v>
      </c>
    </row>
    <row r="39" spans="1:46" ht="20.25" customHeight="1" x14ac:dyDescent="0.3">
      <c r="A39" s="42">
        <v>34</v>
      </c>
      <c r="B39" s="26" t="s">
        <v>62</v>
      </c>
      <c r="C39" s="26" t="s">
        <v>63</v>
      </c>
      <c r="D39" s="34" t="str">
        <f t="shared" si="14"/>
        <v>P-293/2013-Cēsu pilsētas tranzītielas-Gaujas ielas-rekonstrukcija</v>
      </c>
      <c r="E39" s="34" t="str">
        <f t="shared" si="15"/>
        <v>16.08.2013</v>
      </c>
      <c r="F39" s="27">
        <v>26725</v>
      </c>
      <c r="G39" s="36">
        <f t="shared" si="5"/>
        <v>31053.489999999998</v>
      </c>
      <c r="H39" s="36">
        <f t="shared" si="16"/>
        <v>30186.48</v>
      </c>
      <c r="I39" s="36">
        <f t="shared" si="17"/>
        <v>29340.929999999997</v>
      </c>
      <c r="J39" s="36">
        <f t="shared" si="18"/>
        <v>28493.09</v>
      </c>
      <c r="K39" s="36">
        <f>VLOOKUP($C39,$AQ:$AR,2,0)</f>
        <v>27655.1</v>
      </c>
      <c r="L39" s="37">
        <f t="shared" si="12"/>
        <v>26761.840269999997</v>
      </c>
      <c r="M39" s="36">
        <f>VLOOKUP($C39,$AS:$AT,2,0)-26762</f>
        <v>75391.98000000001</v>
      </c>
      <c r="N39" s="38">
        <f t="shared" si="4"/>
        <v>275607.91026999999</v>
      </c>
      <c r="Q39" t="str">
        <f t="shared" si="19"/>
        <v>P-293/2013-Cēsu pilsētas tranzītielas-Gaujas ielas-rekonstrukcija</v>
      </c>
      <c r="R39" t="str">
        <f t="shared" si="20"/>
        <v>16.08.2013</v>
      </c>
      <c r="U39" s="8" t="s">
        <v>63</v>
      </c>
      <c r="V39" s="9" t="s">
        <v>342</v>
      </c>
      <c r="W39" s="8" t="s">
        <v>63</v>
      </c>
      <c r="X39" s="13" t="s">
        <v>303</v>
      </c>
      <c r="Z39" s="1" t="s">
        <v>66</v>
      </c>
      <c r="AA39" s="1" t="s">
        <v>67</v>
      </c>
      <c r="AB39" s="2">
        <v>35387.24</v>
      </c>
      <c r="AD39" s="1" t="s">
        <v>72</v>
      </c>
      <c r="AE39" s="1" t="s">
        <v>73</v>
      </c>
      <c r="AF39" s="2">
        <v>17.13</v>
      </c>
      <c r="AH39" s="1" t="s">
        <v>78</v>
      </c>
      <c r="AI39" s="1" t="s">
        <v>79</v>
      </c>
      <c r="AJ39" s="2">
        <v>38170.030000000006</v>
      </c>
      <c r="AL39" s="1" t="s">
        <v>86</v>
      </c>
      <c r="AM39" s="1" t="s">
        <v>87</v>
      </c>
      <c r="AN39" s="2">
        <v>34273.200000000004</v>
      </c>
      <c r="AP39" s="1" t="s">
        <v>96</v>
      </c>
      <c r="AQ39" s="1" t="s">
        <v>97</v>
      </c>
      <c r="AR39" s="2">
        <v>44281.23</v>
      </c>
      <c r="AS39" s="1" t="s">
        <v>97</v>
      </c>
      <c r="AT39" s="2">
        <v>362528.89</v>
      </c>
    </row>
    <row r="40" spans="1:46" ht="20.25" customHeight="1" x14ac:dyDescent="0.3">
      <c r="A40" s="42">
        <v>35</v>
      </c>
      <c r="B40" s="26" t="s">
        <v>64</v>
      </c>
      <c r="C40" s="26" t="s">
        <v>65</v>
      </c>
      <c r="D40" s="34" t="str">
        <f t="shared" si="14"/>
        <v>P-48/2014-ERAF pr."Cēsu Profesionālās vidusskolas kompleksa attīstība" īstenošanai</v>
      </c>
      <c r="E40" s="34" t="str">
        <f t="shared" si="15"/>
        <v>28.02.2014</v>
      </c>
      <c r="F40" s="27">
        <v>60894</v>
      </c>
      <c r="G40" s="36">
        <f t="shared" si="5"/>
        <v>61875.14</v>
      </c>
      <c r="H40" s="36">
        <f t="shared" si="16"/>
        <v>59841.54</v>
      </c>
      <c r="I40" s="36">
        <f t="shared" si="17"/>
        <v>57825.909999999996</v>
      </c>
      <c r="J40" s="36">
        <f t="shared" si="18"/>
        <v>30004.06</v>
      </c>
      <c r="K40" s="36">
        <v>0</v>
      </c>
      <c r="L40" s="37">
        <f t="shared" si="12"/>
        <v>0</v>
      </c>
      <c r="M40" s="36">
        <v>0</v>
      </c>
      <c r="N40" s="38">
        <f t="shared" si="4"/>
        <v>270440.65000000002</v>
      </c>
      <c r="Q40" t="str">
        <f t="shared" si="19"/>
        <v>P-48/2014-ERAF pr."Cēsu Profesionālās vidusskolas kompleksa attīstība" īstenošanai</v>
      </c>
      <c r="R40" t="str">
        <f t="shared" si="20"/>
        <v>28.02.2014</v>
      </c>
      <c r="U40" s="8" t="s">
        <v>183</v>
      </c>
      <c r="V40" s="9" t="s">
        <v>343</v>
      </c>
      <c r="W40" s="8" t="s">
        <v>183</v>
      </c>
      <c r="X40" s="13" t="s">
        <v>344</v>
      </c>
      <c r="Z40" s="1" t="s">
        <v>68</v>
      </c>
      <c r="AA40" s="1" t="s">
        <v>69</v>
      </c>
      <c r="AB40" s="2">
        <v>13499.53</v>
      </c>
      <c r="AD40" s="1" t="s">
        <v>74</v>
      </c>
      <c r="AE40" s="1" t="s">
        <v>75</v>
      </c>
      <c r="AF40" s="2">
        <v>5076.0200000000004</v>
      </c>
      <c r="AH40" s="1" t="s">
        <v>80</v>
      </c>
      <c r="AI40" s="1" t="s">
        <v>81</v>
      </c>
      <c r="AJ40" s="2">
        <v>9090.49</v>
      </c>
      <c r="AL40" s="1" t="s">
        <v>88</v>
      </c>
      <c r="AM40" s="1" t="s">
        <v>89</v>
      </c>
      <c r="AN40" s="2">
        <v>7308.6</v>
      </c>
      <c r="AP40" s="1" t="s">
        <v>98</v>
      </c>
      <c r="AQ40" s="1" t="s">
        <v>99</v>
      </c>
      <c r="AR40" s="2">
        <v>14862.15</v>
      </c>
      <c r="AS40" s="1" t="s">
        <v>99</v>
      </c>
      <c r="AT40" s="2">
        <v>48364.069999999992</v>
      </c>
    </row>
    <row r="41" spans="1:46" ht="20.25" customHeight="1" x14ac:dyDescent="0.3">
      <c r="A41" s="42">
        <v>36</v>
      </c>
      <c r="B41" s="26" t="s">
        <v>66</v>
      </c>
      <c r="C41" s="26" t="s">
        <v>67</v>
      </c>
      <c r="D41" s="34" t="str">
        <f t="shared" si="14"/>
        <v>Stalbes vidusskolas ēkas energoefektivitātes paaugstināšana</v>
      </c>
      <c r="E41" s="34" t="str">
        <f t="shared" si="15"/>
        <v>10.04.2014</v>
      </c>
      <c r="F41" s="27">
        <v>33171</v>
      </c>
      <c r="G41" s="36">
        <f t="shared" si="5"/>
        <v>35387.24</v>
      </c>
      <c r="H41" s="36">
        <f t="shared" si="16"/>
        <v>34297.310000000005</v>
      </c>
      <c r="I41" s="36">
        <f t="shared" si="17"/>
        <v>33223.619999999995</v>
      </c>
      <c r="J41" s="36">
        <f t="shared" si="18"/>
        <v>32146.99</v>
      </c>
      <c r="K41" s="36">
        <f>VLOOKUP($C41,$AQ:$AR,2,0)</f>
        <v>31071.800000000003</v>
      </c>
      <c r="L41" s="37">
        <v>7657</v>
      </c>
      <c r="M41" s="36">
        <v>0</v>
      </c>
      <c r="N41" s="38">
        <f t="shared" si="4"/>
        <v>206954.95999999996</v>
      </c>
      <c r="Q41" t="str">
        <f t="shared" si="19"/>
        <v>Stalbes vidusskolas ēkas energoefektivitātes paaugstināšana</v>
      </c>
      <c r="R41" t="str">
        <f t="shared" si="20"/>
        <v>10.04.2014</v>
      </c>
      <c r="U41" s="8" t="s">
        <v>103</v>
      </c>
      <c r="V41" s="9" t="s">
        <v>345</v>
      </c>
      <c r="W41" s="8" t="s">
        <v>103</v>
      </c>
      <c r="X41" s="13" t="s">
        <v>346</v>
      </c>
      <c r="Z41" s="1" t="s">
        <v>70</v>
      </c>
      <c r="AA41" s="1" t="s">
        <v>71</v>
      </c>
      <c r="AB41" s="2">
        <v>4040.4</v>
      </c>
      <c r="AD41" s="1" t="s">
        <v>76</v>
      </c>
      <c r="AE41" s="1" t="s">
        <v>77</v>
      </c>
      <c r="AF41" s="2">
        <v>14122.5</v>
      </c>
      <c r="AH41" s="1" t="s">
        <v>80</v>
      </c>
      <c r="AI41" s="1" t="s">
        <v>81</v>
      </c>
      <c r="AJ41" s="2">
        <v>6134.49</v>
      </c>
      <c r="AL41" s="1" t="s">
        <v>90</v>
      </c>
      <c r="AM41" s="1" t="s">
        <v>91</v>
      </c>
      <c r="AN41" s="2">
        <v>12365.24</v>
      </c>
      <c r="AP41" s="1" t="s">
        <v>100</v>
      </c>
      <c r="AQ41" s="1" t="s">
        <v>101</v>
      </c>
      <c r="AR41" s="2">
        <v>18660.28</v>
      </c>
      <c r="AS41" s="1" t="s">
        <v>101</v>
      </c>
      <c r="AT41" s="2">
        <v>110315</v>
      </c>
    </row>
    <row r="42" spans="1:46" ht="20.25" customHeight="1" x14ac:dyDescent="0.3">
      <c r="A42" s="42">
        <v>37</v>
      </c>
      <c r="B42" s="26" t="s">
        <v>68</v>
      </c>
      <c r="C42" s="26" t="s">
        <v>69</v>
      </c>
      <c r="D42" s="34" t="str">
        <f t="shared" si="14"/>
        <v>Straupes pamatskolas fasādes vienkāršota renovācija un lietus ūdeņa drenāžas izbūve</v>
      </c>
      <c r="E42" s="34" t="str">
        <f t="shared" si="15"/>
        <v>20.08.2014</v>
      </c>
      <c r="F42" s="27">
        <v>12207</v>
      </c>
      <c r="G42" s="36">
        <f t="shared" si="5"/>
        <v>13499.53</v>
      </c>
      <c r="H42" s="36">
        <f t="shared" si="16"/>
        <v>13089.46</v>
      </c>
      <c r="I42" s="36">
        <f t="shared" si="17"/>
        <v>12686.03</v>
      </c>
      <c r="J42" s="36">
        <f t="shared" si="18"/>
        <v>12281.46</v>
      </c>
      <c r="K42" s="36">
        <f>VLOOKUP($C42,$AQ:$AR,2,0)</f>
        <v>11878.01</v>
      </c>
      <c r="L42" s="37">
        <v>8655</v>
      </c>
      <c r="M42" s="36">
        <v>0</v>
      </c>
      <c r="N42" s="38">
        <f t="shared" si="4"/>
        <v>84296.489999999991</v>
      </c>
      <c r="Q42" t="str">
        <f t="shared" si="19"/>
        <v>Straupes pamatskolas fasādes vienkāršota renovācija un lietus ūdeņa drenāžas izbūve</v>
      </c>
      <c r="R42" t="str">
        <f t="shared" si="20"/>
        <v>20.08.2014</v>
      </c>
      <c r="U42" s="8" t="s">
        <v>101</v>
      </c>
      <c r="V42" s="9" t="s">
        <v>347</v>
      </c>
      <c r="W42" s="8" t="s">
        <v>101</v>
      </c>
      <c r="X42" s="13" t="s">
        <v>346</v>
      </c>
      <c r="Z42" s="1" t="s">
        <v>72</v>
      </c>
      <c r="AA42" s="1" t="s">
        <v>73</v>
      </c>
      <c r="AB42" s="2">
        <v>8948.380000000001</v>
      </c>
      <c r="AD42" s="1" t="s">
        <v>78</v>
      </c>
      <c r="AE42" s="1" t="s">
        <v>79</v>
      </c>
      <c r="AF42" s="2">
        <v>39239.1</v>
      </c>
      <c r="AH42" s="1" t="s">
        <v>84</v>
      </c>
      <c r="AI42" s="1" t="s">
        <v>85</v>
      </c>
      <c r="AJ42" s="2">
        <v>6298.0700000000006</v>
      </c>
      <c r="AL42" s="1" t="s">
        <v>92</v>
      </c>
      <c r="AM42" s="1" t="s">
        <v>93</v>
      </c>
      <c r="AN42" s="2">
        <v>7435.38</v>
      </c>
      <c r="AP42" s="1" t="s">
        <v>102</v>
      </c>
      <c r="AQ42" s="1" t="s">
        <v>103</v>
      </c>
      <c r="AR42" s="2">
        <v>8045.23</v>
      </c>
      <c r="AS42" s="1" t="s">
        <v>103</v>
      </c>
      <c r="AT42" s="2">
        <v>36635.199999999997</v>
      </c>
    </row>
    <row r="43" spans="1:46" ht="20.25" customHeight="1" x14ac:dyDescent="0.3">
      <c r="A43" s="42">
        <v>38</v>
      </c>
      <c r="B43" s="26" t="s">
        <v>70</v>
      </c>
      <c r="C43" s="26" t="s">
        <v>71</v>
      </c>
      <c r="D43" s="28" t="s">
        <v>440</v>
      </c>
      <c r="E43" s="29" t="s">
        <v>441</v>
      </c>
      <c r="F43" s="27">
        <v>3740</v>
      </c>
      <c r="G43" s="36">
        <f t="shared" si="5"/>
        <v>4040.4</v>
      </c>
      <c r="H43" s="36">
        <f t="shared" si="16"/>
        <v>3919.31</v>
      </c>
      <c r="I43" s="36">
        <f t="shared" si="17"/>
        <v>3800.35</v>
      </c>
      <c r="J43" s="36">
        <f t="shared" si="18"/>
        <v>3681.05</v>
      </c>
      <c r="K43" s="36">
        <f>VLOOKUP($C43,$AQ:$AR,2,0)</f>
        <v>3562.2599999999998</v>
      </c>
      <c r="L43" s="37">
        <f t="shared" si="12"/>
        <v>3447.1990019999998</v>
      </c>
      <c r="M43" s="36">
        <f>VLOOKUP($C43,$AS:$AT,2,0)-3447</f>
        <v>843.72000000000116</v>
      </c>
      <c r="N43" s="38">
        <f t="shared" si="4"/>
        <v>27034.289002000001</v>
      </c>
      <c r="Q43" t="e">
        <f t="shared" si="19"/>
        <v>#N/A</v>
      </c>
      <c r="R43" t="e">
        <f t="shared" si="20"/>
        <v>#N/A</v>
      </c>
      <c r="U43" s="8" t="s">
        <v>187</v>
      </c>
      <c r="V43" s="9" t="s">
        <v>348</v>
      </c>
      <c r="W43" s="8" t="s">
        <v>187</v>
      </c>
      <c r="X43" s="13" t="s">
        <v>349</v>
      </c>
      <c r="Z43" s="1" t="s">
        <v>74</v>
      </c>
      <c r="AA43" s="1" t="s">
        <v>75</v>
      </c>
      <c r="AB43" s="2">
        <v>5248.51</v>
      </c>
      <c r="AD43" s="1" t="s">
        <v>80</v>
      </c>
      <c r="AE43" s="1" t="s">
        <v>81</v>
      </c>
      <c r="AF43" s="2">
        <v>9370.6500000000015</v>
      </c>
      <c r="AH43" s="1" t="s">
        <v>86</v>
      </c>
      <c r="AI43" s="1" t="s">
        <v>87</v>
      </c>
      <c r="AJ43" s="2">
        <v>35203.129999999997</v>
      </c>
      <c r="AL43" s="1" t="s">
        <v>94</v>
      </c>
      <c r="AM43" s="1" t="s">
        <v>95</v>
      </c>
      <c r="AN43" s="2">
        <v>6596.29</v>
      </c>
      <c r="AP43" s="1" t="s">
        <v>104</v>
      </c>
      <c r="AQ43" s="1" t="s">
        <v>105</v>
      </c>
      <c r="AR43" s="2">
        <v>16236.380000000001</v>
      </c>
      <c r="AS43" s="1" t="s">
        <v>105</v>
      </c>
      <c r="AT43" s="2">
        <v>52857.51999999999</v>
      </c>
    </row>
    <row r="44" spans="1:46" ht="20.25" customHeight="1" x14ac:dyDescent="0.3">
      <c r="A44" s="42">
        <v>39</v>
      </c>
      <c r="B44" s="26" t="s">
        <v>72</v>
      </c>
      <c r="C44" s="26" t="s">
        <v>73</v>
      </c>
      <c r="D44" s="28" t="s">
        <v>433</v>
      </c>
      <c r="E44" s="29" t="s">
        <v>434</v>
      </c>
      <c r="F44" s="27">
        <v>8936</v>
      </c>
      <c r="G44" s="36">
        <f t="shared" si="5"/>
        <v>8948.380000000001</v>
      </c>
      <c r="H44" s="36">
        <f t="shared" si="16"/>
        <v>17.13</v>
      </c>
      <c r="I44" s="36">
        <v>0</v>
      </c>
      <c r="J44" s="36">
        <v>0</v>
      </c>
      <c r="K44" s="36">
        <v>0</v>
      </c>
      <c r="L44" s="37">
        <f t="shared" si="12"/>
        <v>0</v>
      </c>
      <c r="M44" s="36">
        <v>0</v>
      </c>
      <c r="N44" s="38">
        <f t="shared" si="4"/>
        <v>17901.510000000002</v>
      </c>
      <c r="Q44" t="e">
        <f t="shared" si="19"/>
        <v>#N/A</v>
      </c>
      <c r="R44" t="e">
        <f t="shared" si="20"/>
        <v>#N/A</v>
      </c>
      <c r="U44" s="8" t="s">
        <v>133</v>
      </c>
      <c r="V44" s="9" t="s">
        <v>350</v>
      </c>
      <c r="W44" s="8" t="s">
        <v>133</v>
      </c>
      <c r="X44" s="13" t="s">
        <v>351</v>
      </c>
      <c r="Z44" s="1" t="s">
        <v>76</v>
      </c>
      <c r="AA44" s="1" t="s">
        <v>77</v>
      </c>
      <c r="AB44" s="2">
        <v>14549.949999999999</v>
      </c>
      <c r="AD44" s="1" t="s">
        <v>82</v>
      </c>
      <c r="AE44" s="1" t="s">
        <v>83</v>
      </c>
      <c r="AF44" s="2">
        <v>5819.41</v>
      </c>
      <c r="AH44" s="1" t="s">
        <v>88</v>
      </c>
      <c r="AI44" s="1" t="s">
        <v>89</v>
      </c>
      <c r="AJ44" s="2">
        <v>7536.21</v>
      </c>
      <c r="AL44" s="1" t="s">
        <v>96</v>
      </c>
      <c r="AM44" s="1" t="s">
        <v>97</v>
      </c>
      <c r="AN44" s="2">
        <v>45411.590000000004</v>
      </c>
      <c r="AP44" s="1" t="s">
        <v>106</v>
      </c>
      <c r="AQ44" s="1" t="s">
        <v>107</v>
      </c>
      <c r="AR44" s="2">
        <v>26934.149999999998</v>
      </c>
      <c r="AS44" s="1" t="s">
        <v>107</v>
      </c>
      <c r="AT44" s="2">
        <v>87684.19</v>
      </c>
    </row>
    <row r="45" spans="1:46" ht="20.25" customHeight="1" x14ac:dyDescent="0.3">
      <c r="A45" s="42">
        <v>40</v>
      </c>
      <c r="B45" s="26" t="s">
        <v>74</v>
      </c>
      <c r="C45" s="26" t="s">
        <v>75</v>
      </c>
      <c r="D45" s="28" t="s">
        <v>431</v>
      </c>
      <c r="E45" s="29" t="s">
        <v>432</v>
      </c>
      <c r="F45" s="27">
        <v>5046</v>
      </c>
      <c r="G45" s="36">
        <f t="shared" si="5"/>
        <v>5248.51</v>
      </c>
      <c r="H45" s="36">
        <f t="shared" si="16"/>
        <v>5076.0200000000004</v>
      </c>
      <c r="I45" s="36">
        <f>VLOOKUP($C45,$AI:$AJ,2,0)</f>
        <v>4905.0300000000007</v>
      </c>
      <c r="J45" s="36">
        <f t="shared" ref="J45:J55" si="21">VLOOKUP($C45,$AM:$AN,2,0)</f>
        <v>9.51</v>
      </c>
      <c r="K45" s="36">
        <v>0</v>
      </c>
      <c r="L45" s="37">
        <f t="shared" si="12"/>
        <v>0</v>
      </c>
      <c r="M45" s="36">
        <v>0</v>
      </c>
      <c r="N45" s="38">
        <f t="shared" si="4"/>
        <v>20285.07</v>
      </c>
      <c r="Q45" t="e">
        <f t="shared" si="19"/>
        <v>#N/A</v>
      </c>
      <c r="R45" t="e">
        <f t="shared" si="20"/>
        <v>#N/A</v>
      </c>
      <c r="U45" s="8" t="s">
        <v>111</v>
      </c>
      <c r="V45" s="9" t="s">
        <v>352</v>
      </c>
      <c r="W45" s="8" t="s">
        <v>111</v>
      </c>
      <c r="X45" s="13" t="s">
        <v>353</v>
      </c>
      <c r="Z45" s="1" t="s">
        <v>78</v>
      </c>
      <c r="AA45" s="1" t="s">
        <v>79</v>
      </c>
      <c r="AB45" s="2">
        <v>40338.28</v>
      </c>
      <c r="AD45" s="1" t="s">
        <v>84</v>
      </c>
      <c r="AE45" s="1" t="s">
        <v>85</v>
      </c>
      <c r="AF45" s="2">
        <v>6492.17</v>
      </c>
      <c r="AH45" s="1" t="s">
        <v>90</v>
      </c>
      <c r="AI45" s="1" t="s">
        <v>91</v>
      </c>
      <c r="AJ45" s="2">
        <v>12793.71</v>
      </c>
      <c r="AL45" s="1" t="s">
        <v>98</v>
      </c>
      <c r="AM45" s="1" t="s">
        <v>99</v>
      </c>
      <c r="AN45" s="2">
        <v>15320.15</v>
      </c>
      <c r="AP45" s="1" t="s">
        <v>108</v>
      </c>
      <c r="AQ45" s="1" t="s">
        <v>109</v>
      </c>
      <c r="AR45" s="2">
        <v>32472.77</v>
      </c>
      <c r="AS45" s="1" t="s">
        <v>109</v>
      </c>
      <c r="AT45" s="2">
        <v>105715.11999999998</v>
      </c>
    </row>
    <row r="46" spans="1:46" ht="20.25" customHeight="1" x14ac:dyDescent="0.3">
      <c r="A46" s="42">
        <v>41</v>
      </c>
      <c r="B46" s="26" t="s">
        <v>76</v>
      </c>
      <c r="C46" s="26" t="s">
        <v>77</v>
      </c>
      <c r="D46" s="34" t="str">
        <f>VLOOKUP($C46,$U:$X,2,0)</f>
        <v>P-229/2015 pr."Cēsu pils.pamatksolas-ēkas telpu vienk.atjaunošana,L.Paegles ielā 1, Cēsīs, Cēsu novadā" īstenošanai</v>
      </c>
      <c r="E46" s="34" t="str">
        <f>VLOOKUP($C46,$W:$X,2,0)</f>
        <v>09.07.2015</v>
      </c>
      <c r="F46" s="27">
        <v>13085</v>
      </c>
      <c r="G46" s="36">
        <f t="shared" si="5"/>
        <v>14549.949999999999</v>
      </c>
      <c r="H46" s="36">
        <f t="shared" si="16"/>
        <v>14122.5</v>
      </c>
      <c r="I46" s="36">
        <f>VLOOKUP($C46,$AI:$AJ,2,0)</f>
        <v>13703.41</v>
      </c>
      <c r="J46" s="36">
        <f t="shared" si="21"/>
        <v>13283.15</v>
      </c>
      <c r="K46" s="36">
        <f t="shared" ref="K46:K55" si="22">VLOOKUP($C46,$AQ:$AR,2,0)</f>
        <v>12865.49</v>
      </c>
      <c r="L46" s="37">
        <f t="shared" si="12"/>
        <v>12449.934673</v>
      </c>
      <c r="M46" s="36">
        <f>VLOOKUP($C46,$AS:$AT,2,0)-12450</f>
        <v>12037.150000000001</v>
      </c>
      <c r="N46" s="38">
        <f t="shared" si="4"/>
        <v>106096.584673</v>
      </c>
      <c r="Q46" t="str">
        <f t="shared" si="19"/>
        <v>P-229/2015 pr."Cēsu pils.pamatksolas-ēkas telpu vienk.atjaunošana,L.Paegles ielā 1, Cēsīs, Cēsu novadā" īstenošanai</v>
      </c>
      <c r="R46" t="str">
        <f t="shared" si="20"/>
        <v>09.07.2015</v>
      </c>
      <c r="U46" s="8" t="s">
        <v>113</v>
      </c>
      <c r="V46" s="9" t="s">
        <v>354</v>
      </c>
      <c r="W46" s="8" t="s">
        <v>113</v>
      </c>
      <c r="X46" s="13" t="s">
        <v>353</v>
      </c>
      <c r="Z46" s="1" t="s">
        <v>80</v>
      </c>
      <c r="AA46" s="1" t="s">
        <v>81</v>
      </c>
      <c r="AB46" s="2">
        <v>9656.1999999999989</v>
      </c>
      <c r="AD46" s="1" t="s">
        <v>86</v>
      </c>
      <c r="AE46" s="1" t="s">
        <v>87</v>
      </c>
      <c r="AF46" s="2">
        <v>36130.6</v>
      </c>
      <c r="AH46" s="1" t="s">
        <v>92</v>
      </c>
      <c r="AI46" s="1" t="s">
        <v>93</v>
      </c>
      <c r="AJ46" s="2">
        <v>7665.17</v>
      </c>
      <c r="AL46" s="1" t="s">
        <v>100</v>
      </c>
      <c r="AM46" s="1" t="s">
        <v>101</v>
      </c>
      <c r="AN46" s="2">
        <v>19179.66</v>
      </c>
      <c r="AP46" s="1" t="s">
        <v>110</v>
      </c>
      <c r="AQ46" s="1" t="s">
        <v>111</v>
      </c>
      <c r="AR46" s="2">
        <v>15168.99</v>
      </c>
      <c r="AS46" s="1" t="s">
        <v>111</v>
      </c>
      <c r="AT46" s="2">
        <v>11053.28</v>
      </c>
    </row>
    <row r="47" spans="1:46" ht="20.25" customHeight="1" x14ac:dyDescent="0.3">
      <c r="A47" s="42">
        <v>42</v>
      </c>
      <c r="B47" s="26" t="s">
        <v>78</v>
      </c>
      <c r="C47" s="26" t="s">
        <v>79</v>
      </c>
      <c r="D47" s="34" t="str">
        <f>VLOOKUP($C47,$U:$X,2,0)</f>
        <v>P-237/2015 pr."Raiņa i.posma jaunbūves,Noliktavas,Dzintara i. un Uzvaras bulv.krustojuma rekonstrukcijas ielām pieguļ.laukuma labiek.,Cēsīs, Cēsu nov." īstenošanai</v>
      </c>
      <c r="E47" s="34" t="str">
        <f>VLOOKUP($C47,$W:$X,2,0)</f>
        <v>20.07.2015</v>
      </c>
      <c r="F47" s="27">
        <v>34830</v>
      </c>
      <c r="G47" s="36">
        <f t="shared" si="5"/>
        <v>40338.28</v>
      </c>
      <c r="H47" s="36">
        <f t="shared" si="16"/>
        <v>39239.1</v>
      </c>
      <c r="I47" s="36">
        <f>VLOOKUP($C47,$AI:$AJ,2,0)</f>
        <v>38170.030000000006</v>
      </c>
      <c r="J47" s="36">
        <f t="shared" si="21"/>
        <v>37097.980000000003</v>
      </c>
      <c r="K47" s="36">
        <f t="shared" si="22"/>
        <v>36041.370000000003</v>
      </c>
      <c r="L47" s="37">
        <f t="shared" si="12"/>
        <v>34877.233748999999</v>
      </c>
      <c r="M47" s="36">
        <f>VLOOKUP($C47,$AS:$AT,2,0)-34877</f>
        <v>129242.76000000001</v>
      </c>
      <c r="N47" s="38">
        <f t="shared" si="4"/>
        <v>389836.75374900002</v>
      </c>
      <c r="Q47" t="str">
        <f t="shared" si="19"/>
        <v>P-237/2015 pr."Raiņa i.posma jaunbūves,Noliktavas,Dzintara i. un Uzvaras bulv.krustojuma rekonstrukcijas ielām pieguļ.laukuma labiek.,Cēsīs, Cēsu nov." īstenošanai</v>
      </c>
      <c r="R47" t="str">
        <f t="shared" si="20"/>
        <v>20.07.2015</v>
      </c>
      <c r="U47" s="8" t="s">
        <v>193</v>
      </c>
      <c r="V47" s="9" t="s">
        <v>355</v>
      </c>
      <c r="W47" s="8" t="s">
        <v>193</v>
      </c>
      <c r="X47" s="13" t="s">
        <v>356</v>
      </c>
      <c r="Z47" s="1" t="s">
        <v>82</v>
      </c>
      <c r="AA47" s="1" t="s">
        <v>83</v>
      </c>
      <c r="AB47" s="2">
        <v>5996.74</v>
      </c>
      <c r="AD47" s="1" t="s">
        <v>88</v>
      </c>
      <c r="AE47" s="1" t="s">
        <v>89</v>
      </c>
      <c r="AF47" s="2">
        <v>7763.2300000000005</v>
      </c>
      <c r="AH47" s="1" t="s">
        <v>94</v>
      </c>
      <c r="AI47" s="1" t="s">
        <v>95</v>
      </c>
      <c r="AJ47" s="2">
        <v>6800.14</v>
      </c>
      <c r="AL47" s="1" t="s">
        <v>102</v>
      </c>
      <c r="AM47" s="1" t="s">
        <v>103</v>
      </c>
      <c r="AN47" s="2">
        <v>8281.1200000000008</v>
      </c>
      <c r="AP47" s="1" t="s">
        <v>112</v>
      </c>
      <c r="AQ47" s="1" t="s">
        <v>113</v>
      </c>
      <c r="AR47" s="2">
        <v>114212.12</v>
      </c>
      <c r="AS47" s="1" t="s">
        <v>113</v>
      </c>
      <c r="AT47" s="2">
        <v>1043971.8900000002</v>
      </c>
    </row>
    <row r="48" spans="1:46" ht="20.25" customHeight="1" x14ac:dyDescent="0.3">
      <c r="A48" s="42">
        <v>43</v>
      </c>
      <c r="B48" s="26" t="s">
        <v>80</v>
      </c>
      <c r="C48" s="26" t="s">
        <v>81</v>
      </c>
      <c r="D48" s="28" t="s">
        <v>446</v>
      </c>
      <c r="E48" s="29" t="s">
        <v>447</v>
      </c>
      <c r="F48" s="27">
        <v>8666</v>
      </c>
      <c r="G48" s="36">
        <f t="shared" si="5"/>
        <v>9656.1999999999989</v>
      </c>
      <c r="H48" s="36">
        <f t="shared" si="16"/>
        <v>9370.6500000000015</v>
      </c>
      <c r="I48" s="36">
        <f>VLOOKUP($C48,$AI:$AJ,2,0)</f>
        <v>9090.49</v>
      </c>
      <c r="J48" s="36">
        <f t="shared" si="21"/>
        <v>8809.5400000000009</v>
      </c>
      <c r="K48" s="36">
        <f t="shared" si="22"/>
        <v>8530.14</v>
      </c>
      <c r="L48" s="37">
        <f t="shared" si="12"/>
        <v>8254.6164779999999</v>
      </c>
      <c r="M48" s="36">
        <f>VLOOKUP($C48,$AS:$AT,2,0)-8255</f>
        <v>5997.2800000000025</v>
      </c>
      <c r="N48" s="38">
        <f t="shared" si="4"/>
        <v>68374.916477999999</v>
      </c>
      <c r="Q48" t="e">
        <f t="shared" si="19"/>
        <v>#N/A</v>
      </c>
      <c r="R48" t="e">
        <f t="shared" si="20"/>
        <v>#N/A</v>
      </c>
      <c r="U48" s="8" t="s">
        <v>65</v>
      </c>
      <c r="V48" s="9" t="s">
        <v>357</v>
      </c>
      <c r="W48" s="8" t="s">
        <v>65</v>
      </c>
      <c r="X48" s="13" t="s">
        <v>358</v>
      </c>
      <c r="Z48" s="1" t="s">
        <v>84</v>
      </c>
      <c r="AA48" s="1" t="s">
        <v>85</v>
      </c>
      <c r="AB48" s="2">
        <v>6690.01</v>
      </c>
      <c r="AD48" s="1" t="s">
        <v>90</v>
      </c>
      <c r="AE48" s="1" t="s">
        <v>91</v>
      </c>
      <c r="AF48" s="2">
        <v>13221</v>
      </c>
      <c r="AH48" s="1" t="s">
        <v>96</v>
      </c>
      <c r="AI48" s="1" t="s">
        <v>97</v>
      </c>
      <c r="AJ48" s="2">
        <v>46572.93</v>
      </c>
      <c r="AL48" s="1" t="s">
        <v>104</v>
      </c>
      <c r="AM48" s="1" t="s">
        <v>105</v>
      </c>
      <c r="AN48" s="2">
        <v>16736.75</v>
      </c>
      <c r="AP48" s="1" t="s">
        <v>114</v>
      </c>
      <c r="AQ48" s="1" t="s">
        <v>115</v>
      </c>
      <c r="AR48" s="2">
        <v>58262.950000000004</v>
      </c>
      <c r="AS48" s="1" t="s">
        <v>115</v>
      </c>
      <c r="AT48" s="2">
        <v>110893.20999999999</v>
      </c>
    </row>
    <row r="49" spans="1:46" ht="20.25" customHeight="1" x14ac:dyDescent="0.3">
      <c r="A49" s="42">
        <v>44</v>
      </c>
      <c r="B49" s="26" t="s">
        <v>82</v>
      </c>
      <c r="C49" s="26" t="s">
        <v>83</v>
      </c>
      <c r="D49" s="34" t="str">
        <f>VLOOKUP($C49,$U:$X,2,0)</f>
        <v>Siltumtrases, katlu māja - Straupes pamatskola, rekonstrukcija</v>
      </c>
      <c r="E49" s="34" t="str">
        <f>VLOOKUP($C49,$W:$X,2,0)</f>
        <v>20.08.2015</v>
      </c>
      <c r="F49" s="27">
        <v>5444</v>
      </c>
      <c r="G49" s="36">
        <f t="shared" si="5"/>
        <v>5996.74</v>
      </c>
      <c r="H49" s="36">
        <f t="shared" si="16"/>
        <v>5819.41</v>
      </c>
      <c r="I49" s="39">
        <v>5672</v>
      </c>
      <c r="J49" s="36">
        <f t="shared" si="21"/>
        <v>5470.95</v>
      </c>
      <c r="K49" s="36">
        <f t="shared" si="22"/>
        <v>5297.4400000000005</v>
      </c>
      <c r="L49" s="37">
        <f t="shared" si="12"/>
        <v>5126.3326880000004</v>
      </c>
      <c r="M49" s="36">
        <f>VLOOKUP($C49,$AS:$AT,2,0)-5126</f>
        <v>3728.4799999999996</v>
      </c>
      <c r="N49" s="38">
        <f t="shared" si="4"/>
        <v>42555.352687999999</v>
      </c>
      <c r="Q49" t="str">
        <f t="shared" si="19"/>
        <v>Siltumtrases, katlu māja - Straupes pamatskola, rekonstrukcija</v>
      </c>
      <c r="R49" t="str">
        <f t="shared" si="20"/>
        <v>20.08.2015</v>
      </c>
      <c r="U49" s="8" t="s">
        <v>195</v>
      </c>
      <c r="V49" s="9" t="s">
        <v>359</v>
      </c>
      <c r="W49" s="8" t="s">
        <v>195</v>
      </c>
      <c r="X49" s="14" t="s">
        <v>360</v>
      </c>
      <c r="Z49" s="1" t="s">
        <v>86</v>
      </c>
      <c r="AA49" s="1" t="s">
        <v>87</v>
      </c>
      <c r="AB49" s="2">
        <v>37089.82</v>
      </c>
      <c r="AD49" s="1" t="s">
        <v>92</v>
      </c>
      <c r="AE49" s="1" t="s">
        <v>93</v>
      </c>
      <c r="AF49" s="2">
        <v>7894.34</v>
      </c>
      <c r="AH49" s="1" t="s">
        <v>98</v>
      </c>
      <c r="AI49" s="1" t="s">
        <v>99</v>
      </c>
      <c r="AJ49" s="2">
        <v>15782.91</v>
      </c>
      <c r="AL49" s="1" t="s">
        <v>106</v>
      </c>
      <c r="AM49" s="1" t="s">
        <v>107</v>
      </c>
      <c r="AN49" s="2">
        <v>27764.19</v>
      </c>
      <c r="AP49" s="1" t="s">
        <v>116</v>
      </c>
      <c r="AQ49" s="1" t="s">
        <v>117</v>
      </c>
      <c r="AR49" s="2">
        <v>3236.83</v>
      </c>
      <c r="AS49" s="1" t="s">
        <v>117</v>
      </c>
      <c r="AT49" s="2">
        <v>0</v>
      </c>
    </row>
    <row r="50" spans="1:46" ht="20.25" customHeight="1" x14ac:dyDescent="0.3">
      <c r="A50" s="42">
        <v>45</v>
      </c>
      <c r="B50" s="26" t="s">
        <v>84</v>
      </c>
      <c r="C50" s="26" t="s">
        <v>85</v>
      </c>
      <c r="D50" s="34" t="str">
        <f>VLOOKUP($C50,$U:$X,2,0)</f>
        <v>Straupes centra publiskāsteritorijas labiekārtošana un vieglo automašīnu stāvlaukuma izbūve pie Straupes pamatskolas</v>
      </c>
      <c r="E50" s="34" t="str">
        <f>VLOOKUP($C50,$W:$X,2,0)</f>
        <v>20.08.2015</v>
      </c>
      <c r="F50" s="27">
        <v>6073</v>
      </c>
      <c r="G50" s="36">
        <f t="shared" si="5"/>
        <v>6690.01</v>
      </c>
      <c r="H50" s="36">
        <f t="shared" si="16"/>
        <v>6492.17</v>
      </c>
      <c r="I50" s="36">
        <f t="shared" ref="I50:I55" si="23">VLOOKUP($C50,$AI:$AJ,2,0)</f>
        <v>6298.0700000000006</v>
      </c>
      <c r="J50" s="36">
        <f t="shared" si="21"/>
        <v>6103.4400000000005</v>
      </c>
      <c r="K50" s="36">
        <f t="shared" si="22"/>
        <v>5909.87</v>
      </c>
      <c r="L50" s="37">
        <f t="shared" si="12"/>
        <v>5718.9811989999998</v>
      </c>
      <c r="M50" s="36">
        <f>VLOOKUP($C50,$AS:$AT,2,0)-5719</f>
        <v>4159.119999999999</v>
      </c>
      <c r="N50" s="38">
        <f t="shared" si="4"/>
        <v>47444.661199000009</v>
      </c>
      <c r="Q50" t="str">
        <f t="shared" si="19"/>
        <v>Straupes centra publiskāsteritorijas labiekārtošana un vieglo automašīnu stāvlaukuma izbūve pie Straupes pamatskolas</v>
      </c>
      <c r="R50" t="str">
        <f t="shared" si="20"/>
        <v>20.08.2015</v>
      </c>
      <c r="U50" s="10" t="s">
        <v>167</v>
      </c>
      <c r="V50" s="9" t="s">
        <v>361</v>
      </c>
      <c r="W50" s="10" t="s">
        <v>167</v>
      </c>
      <c r="X50" s="13" t="s">
        <v>362</v>
      </c>
      <c r="Z50" s="1" t="s">
        <v>88</v>
      </c>
      <c r="AA50" s="1" t="s">
        <v>89</v>
      </c>
      <c r="AB50" s="2">
        <v>7995.0800000000008</v>
      </c>
      <c r="AD50" s="1" t="s">
        <v>94</v>
      </c>
      <c r="AE50" s="1" t="s">
        <v>95</v>
      </c>
      <c r="AF50" s="2">
        <v>7003.4400000000005</v>
      </c>
      <c r="AH50" s="1" t="s">
        <v>100</v>
      </c>
      <c r="AI50" s="1" t="s">
        <v>101</v>
      </c>
      <c r="AJ50" s="2">
        <v>19708.98</v>
      </c>
      <c r="AL50" s="1" t="s">
        <v>108</v>
      </c>
      <c r="AM50" s="1" t="s">
        <v>109</v>
      </c>
      <c r="AN50" s="2">
        <v>33473.47</v>
      </c>
      <c r="AP50" s="1" t="s">
        <v>118</v>
      </c>
      <c r="AQ50" s="1" t="s">
        <v>119</v>
      </c>
      <c r="AR50" s="2">
        <v>22328.649999999998</v>
      </c>
      <c r="AS50" s="1" t="s">
        <v>119</v>
      </c>
      <c r="AT50" s="2">
        <v>26880.45</v>
      </c>
    </row>
    <row r="51" spans="1:46" ht="20.25" customHeight="1" x14ac:dyDescent="0.3">
      <c r="A51" s="42">
        <v>46</v>
      </c>
      <c r="B51" s="26" t="s">
        <v>86</v>
      </c>
      <c r="C51" s="26" t="s">
        <v>87</v>
      </c>
      <c r="D51" s="34" t="str">
        <f>VLOOKUP($C51,$U:$X,2,0)</f>
        <v>Jaunpiebalgas mākslas skolas rekonstrukcija</v>
      </c>
      <c r="E51" s="34" t="str">
        <f>VLOOKUP($C51,$W:$X,2,0)</f>
        <v>29.01.2016</v>
      </c>
      <c r="F51" s="27">
        <v>34130</v>
      </c>
      <c r="G51" s="36">
        <f t="shared" si="5"/>
        <v>37089.82</v>
      </c>
      <c r="H51" s="36">
        <f t="shared" si="16"/>
        <v>36130.6</v>
      </c>
      <c r="I51" s="36">
        <f t="shared" si="23"/>
        <v>35203.129999999997</v>
      </c>
      <c r="J51" s="36">
        <f t="shared" si="21"/>
        <v>34273.200000000004</v>
      </c>
      <c r="K51" s="36">
        <f t="shared" si="22"/>
        <v>33362.300000000003</v>
      </c>
      <c r="L51" s="37">
        <f t="shared" si="12"/>
        <v>32284.697710000004</v>
      </c>
      <c r="M51" s="36">
        <f>VLOOKUP($C51,$AS:$AT,2,0)-32285</f>
        <v>181675.62</v>
      </c>
      <c r="N51" s="38">
        <f t="shared" si="4"/>
        <v>424149.36771000002</v>
      </c>
      <c r="Q51" t="str">
        <f t="shared" si="19"/>
        <v>Jaunpiebalgas mākslas skolas rekonstrukcija</v>
      </c>
      <c r="R51" t="str">
        <f t="shared" si="20"/>
        <v>29.01.2016</v>
      </c>
      <c r="U51" s="8" t="s">
        <v>165</v>
      </c>
      <c r="V51" s="9" t="s">
        <v>363</v>
      </c>
      <c r="W51" s="8" t="s">
        <v>165</v>
      </c>
      <c r="X51" s="13" t="s">
        <v>362</v>
      </c>
      <c r="Z51" s="1" t="s">
        <v>90</v>
      </c>
      <c r="AA51" s="1" t="s">
        <v>91</v>
      </c>
      <c r="AB51" s="2">
        <v>13653.560000000001</v>
      </c>
      <c r="AD51" s="1" t="s">
        <v>96</v>
      </c>
      <c r="AE51" s="1" t="s">
        <v>97</v>
      </c>
      <c r="AF51" s="2">
        <v>47731.109999999993</v>
      </c>
      <c r="AH51" s="1" t="s">
        <v>102</v>
      </c>
      <c r="AI51" s="1" t="s">
        <v>103</v>
      </c>
      <c r="AJ51" s="2">
        <v>8520.41</v>
      </c>
      <c r="AL51" s="1" t="s">
        <v>110</v>
      </c>
      <c r="AM51" s="1" t="s">
        <v>111</v>
      </c>
      <c r="AN51" s="2">
        <v>15684.19</v>
      </c>
      <c r="AP51" s="1" t="s">
        <v>120</v>
      </c>
      <c r="AQ51" s="1" t="s">
        <v>121</v>
      </c>
      <c r="AR51" s="2">
        <v>19095.29</v>
      </c>
      <c r="AS51" s="1" t="s">
        <v>121</v>
      </c>
      <c r="AT51" s="2">
        <v>78772.149999999994</v>
      </c>
    </row>
    <row r="52" spans="1:46" ht="20.25" customHeight="1" x14ac:dyDescent="0.3">
      <c r="A52" s="42">
        <v>47</v>
      </c>
      <c r="B52" s="26" t="s">
        <v>88</v>
      </c>
      <c r="C52" s="26" t="s">
        <v>89</v>
      </c>
      <c r="D52" s="34" t="str">
        <f>VLOOKUP($C52,$U:$X,2,0)</f>
        <v>Darbnīcas ēkas pārbūve par interešu centru</v>
      </c>
      <c r="E52" s="34" t="str">
        <f>VLOOKUP($C52,$W:$X,2,0)</f>
        <v>27.05.2016</v>
      </c>
      <c r="F52" s="27">
        <v>7189</v>
      </c>
      <c r="G52" s="36">
        <f t="shared" si="5"/>
        <v>7995.0800000000008</v>
      </c>
      <c r="H52" s="36">
        <f t="shared" si="16"/>
        <v>7763.2300000000005</v>
      </c>
      <c r="I52" s="36">
        <f t="shared" si="23"/>
        <v>7536.21</v>
      </c>
      <c r="J52" s="36">
        <f t="shared" si="21"/>
        <v>7308.6</v>
      </c>
      <c r="K52" s="36">
        <f t="shared" si="22"/>
        <v>7082.68</v>
      </c>
      <c r="L52" s="37">
        <f t="shared" si="12"/>
        <v>6853.9094359999999</v>
      </c>
      <c r="M52" s="36">
        <f>VLOOKUP($C52,$AS:$AT,2,0)-6854</f>
        <v>9859.5</v>
      </c>
      <c r="N52" s="38">
        <f t="shared" si="4"/>
        <v>61588.209436000005</v>
      </c>
      <c r="Q52" t="str">
        <f t="shared" si="19"/>
        <v>Darbnīcas ēkas pārbūve par interešu centru</v>
      </c>
      <c r="R52" t="str">
        <f t="shared" si="20"/>
        <v>27.05.2016</v>
      </c>
      <c r="U52" s="8" t="s">
        <v>141</v>
      </c>
      <c r="V52" s="9" t="s">
        <v>364</v>
      </c>
      <c r="W52" s="8" t="s">
        <v>141</v>
      </c>
      <c r="X52" s="13" t="s">
        <v>365</v>
      </c>
      <c r="Z52" s="1" t="s">
        <v>92</v>
      </c>
      <c r="AA52" s="1" t="s">
        <v>93</v>
      </c>
      <c r="AB52" s="2">
        <v>8128.5300000000007</v>
      </c>
      <c r="AD52" s="1" t="s">
        <v>98</v>
      </c>
      <c r="AE52" s="1" t="s">
        <v>99</v>
      </c>
      <c r="AF52" s="2">
        <v>16244.4</v>
      </c>
      <c r="AH52" s="1" t="s">
        <v>104</v>
      </c>
      <c r="AI52" s="1" t="s">
        <v>105</v>
      </c>
      <c r="AJ52" s="2">
        <v>17242.27</v>
      </c>
      <c r="AL52" s="1" t="s">
        <v>112</v>
      </c>
      <c r="AM52" s="1" t="s">
        <v>113</v>
      </c>
      <c r="AN52" s="2">
        <v>117024.92</v>
      </c>
      <c r="AP52" s="1" t="s">
        <v>122</v>
      </c>
      <c r="AQ52" s="1" t="s">
        <v>123</v>
      </c>
      <c r="AR52" s="2">
        <v>6570.26</v>
      </c>
      <c r="AS52" s="1" t="s">
        <v>123</v>
      </c>
      <c r="AT52" s="2">
        <v>27107.879999999997</v>
      </c>
    </row>
    <row r="53" spans="1:46" ht="20.25" customHeight="1" x14ac:dyDescent="0.3">
      <c r="A53" s="42">
        <v>48</v>
      </c>
      <c r="B53" s="26" t="s">
        <v>90</v>
      </c>
      <c r="C53" s="26" t="s">
        <v>91</v>
      </c>
      <c r="D53" s="34" t="str">
        <f>VLOOKUP($C53,$U:$X,2,0)</f>
        <v>P-196/2016 pr.Raiņa un Piebalgas ielas krustojuma rekonstrukcija, izbūvējot rotācijas apli Cēsīs, Cēsu novadā</v>
      </c>
      <c r="E53" s="34" t="str">
        <f>VLOOKUP($C53,$W:$X,2,0)</f>
        <v>26.07.2016</v>
      </c>
      <c r="F53" s="27">
        <v>12861</v>
      </c>
      <c r="G53" s="36">
        <f t="shared" si="5"/>
        <v>13653.560000000001</v>
      </c>
      <c r="H53" s="36">
        <f t="shared" si="16"/>
        <v>13221</v>
      </c>
      <c r="I53" s="36">
        <f t="shared" si="23"/>
        <v>12793.71</v>
      </c>
      <c r="J53" s="36">
        <f t="shared" si="21"/>
        <v>12365.24</v>
      </c>
      <c r="K53" s="36">
        <f t="shared" si="22"/>
        <v>3039.39</v>
      </c>
      <c r="L53" s="37">
        <v>0</v>
      </c>
      <c r="M53" s="36">
        <f>VLOOKUP($C53,$AS:$AT,2,0)</f>
        <v>0</v>
      </c>
      <c r="N53" s="38">
        <f t="shared" si="4"/>
        <v>67933.899999999994</v>
      </c>
      <c r="Q53" t="str">
        <f t="shared" si="19"/>
        <v>P-196/2016 pr.Raiņa un Piebalgas ielas krustojuma rekonstrukcija, izbūvējot rotācijas apli Cēsīs, Cēsu novadā</v>
      </c>
      <c r="R53" t="str">
        <f t="shared" si="20"/>
        <v>26.07.2016</v>
      </c>
      <c r="U53" s="8" t="s">
        <v>115</v>
      </c>
      <c r="V53" s="9" t="s">
        <v>366</v>
      </c>
      <c r="W53" s="8" t="s">
        <v>115</v>
      </c>
      <c r="X53" s="13" t="s">
        <v>367</v>
      </c>
      <c r="Z53" s="1" t="s">
        <v>94</v>
      </c>
      <c r="AA53" s="1" t="s">
        <v>95</v>
      </c>
      <c r="AB53" s="2">
        <v>7211.21</v>
      </c>
      <c r="AD53" s="1" t="s">
        <v>100</v>
      </c>
      <c r="AE53" s="1" t="s">
        <v>101</v>
      </c>
      <c r="AF53" s="2">
        <v>20236.829999999998</v>
      </c>
      <c r="AH53" s="1" t="s">
        <v>106</v>
      </c>
      <c r="AI53" s="1" t="s">
        <v>107</v>
      </c>
      <c r="AJ53" s="2">
        <v>28602.83</v>
      </c>
      <c r="AL53" s="1" t="s">
        <v>114</v>
      </c>
      <c r="AM53" s="1" t="s">
        <v>115</v>
      </c>
      <c r="AN53" s="2">
        <v>60154.39</v>
      </c>
      <c r="AP53" s="1" t="s">
        <v>124</v>
      </c>
      <c r="AQ53" s="1" t="s">
        <v>125</v>
      </c>
      <c r="AR53" s="2">
        <v>18867.43</v>
      </c>
      <c r="AS53" s="1" t="s">
        <v>125</v>
      </c>
      <c r="AT53" s="2">
        <v>27141.260000000002</v>
      </c>
    </row>
    <row r="54" spans="1:46" ht="16.8" customHeight="1" x14ac:dyDescent="0.3">
      <c r="A54" s="42">
        <v>49</v>
      </c>
      <c r="B54" s="26" t="s">
        <v>92</v>
      </c>
      <c r="C54" s="26" t="s">
        <v>93</v>
      </c>
      <c r="D54" s="28" t="s">
        <v>561</v>
      </c>
      <c r="E54" s="29" t="s">
        <v>445</v>
      </c>
      <c r="F54" s="27">
        <v>7191</v>
      </c>
      <c r="G54" s="36">
        <f t="shared" si="5"/>
        <v>8128.5300000000007</v>
      </c>
      <c r="H54" s="36">
        <f t="shared" si="16"/>
        <v>7894.34</v>
      </c>
      <c r="I54" s="36">
        <f t="shared" si="23"/>
        <v>7665.17</v>
      </c>
      <c r="J54" s="36">
        <f t="shared" si="21"/>
        <v>7435.38</v>
      </c>
      <c r="K54" s="36">
        <f t="shared" si="22"/>
        <v>7207.4800000000005</v>
      </c>
      <c r="L54" s="37">
        <f t="shared" si="12"/>
        <v>6974.6783960000002</v>
      </c>
      <c r="M54" s="36">
        <f>VLOOKUP($C54,$AS:$AT,2,0)-6975</f>
        <v>11657.93</v>
      </c>
      <c r="N54" s="38">
        <f t="shared" si="4"/>
        <v>64154.508396000005</v>
      </c>
      <c r="Q54" t="e">
        <f t="shared" si="19"/>
        <v>#N/A</v>
      </c>
      <c r="R54" t="e">
        <f t="shared" si="20"/>
        <v>#N/A</v>
      </c>
      <c r="U54" s="8" t="s">
        <v>267</v>
      </c>
      <c r="V54" s="9" t="s">
        <v>368</v>
      </c>
      <c r="W54" s="8" t="s">
        <v>267</v>
      </c>
      <c r="X54" s="13" t="s">
        <v>367</v>
      </c>
      <c r="Z54" s="1" t="s">
        <v>96</v>
      </c>
      <c r="AA54" s="1" t="s">
        <v>97</v>
      </c>
      <c r="AB54" s="2">
        <v>48936.19</v>
      </c>
      <c r="AD54" s="1" t="s">
        <v>102</v>
      </c>
      <c r="AE54" s="1" t="s">
        <v>103</v>
      </c>
      <c r="AF54" s="2">
        <v>8759.0400000000009</v>
      </c>
      <c r="AH54" s="1" t="s">
        <v>108</v>
      </c>
      <c r="AI54" s="1" t="s">
        <v>109</v>
      </c>
      <c r="AJ54" s="2">
        <v>34484.57</v>
      </c>
      <c r="AL54" s="1" t="s">
        <v>116</v>
      </c>
      <c r="AM54" s="1" t="s">
        <v>117</v>
      </c>
      <c r="AN54" s="2">
        <v>13209.279999999999</v>
      </c>
      <c r="AP54" s="1" t="s">
        <v>126</v>
      </c>
      <c r="AQ54" s="1" t="s">
        <v>127</v>
      </c>
      <c r="AR54" s="2">
        <v>20937.05</v>
      </c>
      <c r="AS54" s="1" t="s">
        <v>127</v>
      </c>
      <c r="AT54" s="2">
        <v>86396.23</v>
      </c>
    </row>
    <row r="55" spans="1:46" ht="21.6" customHeight="1" x14ac:dyDescent="0.3">
      <c r="A55" s="42">
        <v>50</v>
      </c>
      <c r="B55" s="26" t="s">
        <v>94</v>
      </c>
      <c r="C55" s="26" t="s">
        <v>95</v>
      </c>
      <c r="D55" s="28" t="s">
        <v>562</v>
      </c>
      <c r="E55" s="29" t="s">
        <v>443</v>
      </c>
      <c r="F55" s="27">
        <v>6453</v>
      </c>
      <c r="G55" s="36">
        <f t="shared" si="5"/>
        <v>7211.21</v>
      </c>
      <c r="H55" s="36">
        <f t="shared" si="16"/>
        <v>7003.4400000000005</v>
      </c>
      <c r="I55" s="36">
        <f t="shared" si="23"/>
        <v>6800.14</v>
      </c>
      <c r="J55" s="36">
        <f t="shared" si="21"/>
        <v>6596.29</v>
      </c>
      <c r="K55" s="36">
        <f t="shared" si="22"/>
        <v>6394.1</v>
      </c>
      <c r="L55" s="37">
        <f t="shared" si="12"/>
        <v>6187.5705700000008</v>
      </c>
      <c r="M55" s="36">
        <f>VLOOKUP($C55,$AS:$AT,2,0)-6188</f>
        <v>10346.349999999999</v>
      </c>
      <c r="N55" s="38">
        <f t="shared" si="4"/>
        <v>56992.100570000002</v>
      </c>
      <c r="Q55" t="e">
        <f t="shared" si="19"/>
        <v>#N/A</v>
      </c>
      <c r="R55" t="e">
        <f t="shared" si="20"/>
        <v>#N/A</v>
      </c>
      <c r="U55" s="8" t="s">
        <v>276</v>
      </c>
      <c r="V55" s="9" t="s">
        <v>369</v>
      </c>
      <c r="W55" s="8" t="s">
        <v>276</v>
      </c>
      <c r="X55" s="13" t="s">
        <v>370</v>
      </c>
      <c r="Z55" s="1" t="s">
        <v>98</v>
      </c>
      <c r="AA55" s="1" t="s">
        <v>99</v>
      </c>
      <c r="AB55" s="2">
        <v>16716.97</v>
      </c>
      <c r="AD55" s="1" t="s">
        <v>104</v>
      </c>
      <c r="AE55" s="1" t="s">
        <v>105</v>
      </c>
      <c r="AF55" s="2">
        <v>17746.43</v>
      </c>
      <c r="AH55" s="1" t="s">
        <v>110</v>
      </c>
      <c r="AI55" s="1" t="s">
        <v>111</v>
      </c>
      <c r="AJ55" s="2">
        <v>16200.87</v>
      </c>
      <c r="AL55" s="1" t="s">
        <v>118</v>
      </c>
      <c r="AM55" s="1" t="s">
        <v>119</v>
      </c>
      <c r="AN55" s="2">
        <v>23073.27</v>
      </c>
      <c r="AP55" s="1" t="s">
        <v>128</v>
      </c>
      <c r="AQ55" s="1" t="s">
        <v>129</v>
      </c>
      <c r="AR55" s="2">
        <v>23828.539999999997</v>
      </c>
      <c r="AS55" s="1" t="s">
        <v>129</v>
      </c>
      <c r="AT55" s="2">
        <v>98327.900000000009</v>
      </c>
    </row>
    <row r="56" spans="1:46" ht="20.25" customHeight="1" x14ac:dyDescent="0.3">
      <c r="A56" s="42">
        <v>51</v>
      </c>
      <c r="B56" s="26" t="s">
        <v>264</v>
      </c>
      <c r="C56" s="26" t="s">
        <v>265</v>
      </c>
      <c r="D56" s="34" t="str">
        <f t="shared" ref="D56:D80" si="24">VLOOKUP($C56,$U:$X,2,0)</f>
        <v>Automašīnas iegāde</v>
      </c>
      <c r="E56" s="34" t="str">
        <f t="shared" ref="E56:E80" si="25">VLOOKUP($C56,$W:$X,2,0)</f>
        <v>30.09.2016</v>
      </c>
      <c r="F56" s="27">
        <v>3120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7">
        <f t="shared" si="12"/>
        <v>0</v>
      </c>
      <c r="M56" s="36">
        <v>0</v>
      </c>
      <c r="N56" s="38">
        <f t="shared" si="4"/>
        <v>3120</v>
      </c>
      <c r="Q56" t="str">
        <f t="shared" si="19"/>
        <v>Automašīnas iegāde</v>
      </c>
      <c r="R56" t="str">
        <f t="shared" si="20"/>
        <v>30.09.2016</v>
      </c>
      <c r="U56" s="8" t="s">
        <v>11</v>
      </c>
      <c r="V56" s="9" t="s">
        <v>371</v>
      </c>
      <c r="W56" s="8" t="s">
        <v>11</v>
      </c>
      <c r="X56" s="13" t="s">
        <v>372</v>
      </c>
      <c r="Z56" s="1" t="s">
        <v>100</v>
      </c>
      <c r="AA56" s="1" t="s">
        <v>101</v>
      </c>
      <c r="AB56" s="2">
        <v>20781.93</v>
      </c>
      <c r="AD56" s="1" t="s">
        <v>106</v>
      </c>
      <c r="AE56" s="1" t="s">
        <v>107</v>
      </c>
      <c r="AF56" s="2">
        <v>29439.15</v>
      </c>
      <c r="AH56" s="1" t="s">
        <v>112</v>
      </c>
      <c r="AI56" s="1" t="s">
        <v>113</v>
      </c>
      <c r="AJ56" s="2">
        <v>119925.06999999999</v>
      </c>
      <c r="AL56" s="1" t="s">
        <v>120</v>
      </c>
      <c r="AM56" s="1" t="s">
        <v>121</v>
      </c>
      <c r="AN56" s="2">
        <v>19664.36</v>
      </c>
      <c r="AP56" s="1" t="s">
        <v>130</v>
      </c>
      <c r="AQ56" s="1" t="s">
        <v>131</v>
      </c>
      <c r="AR56" s="2">
        <v>13364.8</v>
      </c>
      <c r="AS56" s="1" t="s">
        <v>131</v>
      </c>
      <c r="AT56" s="2">
        <v>55149.489999999991</v>
      </c>
    </row>
    <row r="57" spans="1:46" ht="20.25" customHeight="1" x14ac:dyDescent="0.3">
      <c r="A57" s="42">
        <v>52</v>
      </c>
      <c r="B57" s="26" t="s">
        <v>96</v>
      </c>
      <c r="C57" s="26" t="s">
        <v>97</v>
      </c>
      <c r="D57" s="34" t="str">
        <f t="shared" si="24"/>
        <v>P-10/2017-pr."Dzīvojamās mājas atjaunošana, piemērojot dienesta viesnīcai,Saules ielā 23, Cēsīs, Cēsu novadā"</v>
      </c>
      <c r="E57" s="34" t="str">
        <f t="shared" si="25"/>
        <v>01.02.2017</v>
      </c>
      <c r="F57" s="27">
        <v>44264</v>
      </c>
      <c r="G57" s="36">
        <f t="shared" ref="G57:G66" si="26">VLOOKUP(C57,$AA:$AB,2,0)</f>
        <v>48936.19</v>
      </c>
      <c r="H57" s="36">
        <f t="shared" ref="H57:H66" si="27">VLOOKUP(C57,$AE:$AF,2,0)</f>
        <v>47731.109999999993</v>
      </c>
      <c r="I57" s="36">
        <f t="shared" ref="I57:I66" si="28">VLOOKUP($C57,$AI:$AJ,2,0)</f>
        <v>46572.93</v>
      </c>
      <c r="J57" s="36">
        <f t="shared" ref="J57:J66" si="29">VLOOKUP($C57,$AM:$AN,2,0)</f>
        <v>45411.590000000004</v>
      </c>
      <c r="K57" s="36">
        <f t="shared" ref="K57:K66" si="30">VLOOKUP($C57,$AQ:$AR,2,0)</f>
        <v>44281.23</v>
      </c>
      <c r="L57" s="37">
        <f t="shared" si="12"/>
        <v>42850.946271000001</v>
      </c>
      <c r="M57" s="36">
        <f>VLOOKUP($C57,$AS:$AT,2,0)-42851</f>
        <v>319677.89</v>
      </c>
      <c r="N57" s="38">
        <f t="shared" si="4"/>
        <v>639725.88627100002</v>
      </c>
      <c r="Q57" t="str">
        <f t="shared" si="19"/>
        <v>P-10/2017-pr."Dzīvojamās mājas atjaunošana, piemērojot dienesta viesnīcai,Saules ielā 23, Cēsīs, Cēsu novadā"</v>
      </c>
      <c r="R57" t="str">
        <f t="shared" si="20"/>
        <v>01.02.2017</v>
      </c>
      <c r="U57" s="8" t="s">
        <v>13</v>
      </c>
      <c r="V57" s="9" t="s">
        <v>373</v>
      </c>
      <c r="W57" s="8" t="s">
        <v>13</v>
      </c>
      <c r="X57" s="13" t="s">
        <v>374</v>
      </c>
      <c r="Z57" s="1" t="s">
        <v>102</v>
      </c>
      <c r="AA57" s="1" t="s">
        <v>103</v>
      </c>
      <c r="AB57" s="2">
        <v>9004.42</v>
      </c>
      <c r="AD57" s="1" t="s">
        <v>108</v>
      </c>
      <c r="AE57" s="1" t="s">
        <v>109</v>
      </c>
      <c r="AF57" s="2">
        <v>35492.879999999997</v>
      </c>
      <c r="AH57" s="1" t="s">
        <v>114</v>
      </c>
      <c r="AI57" s="1" t="s">
        <v>115</v>
      </c>
      <c r="AJ57" s="2">
        <v>62057.579999999994</v>
      </c>
      <c r="AL57" s="1" t="s">
        <v>122</v>
      </c>
      <c r="AM57" s="1" t="s">
        <v>123</v>
      </c>
      <c r="AN57" s="2">
        <v>6766.06</v>
      </c>
      <c r="AP57" s="1" t="s">
        <v>132</v>
      </c>
      <c r="AQ57" s="1" t="s">
        <v>133</v>
      </c>
      <c r="AR57" s="2">
        <v>85841.04</v>
      </c>
      <c r="AS57" s="1" t="s">
        <v>133</v>
      </c>
      <c r="AT57" s="2">
        <v>831140.34</v>
      </c>
    </row>
    <row r="58" spans="1:46" ht="20.25" customHeight="1" x14ac:dyDescent="0.3">
      <c r="A58" s="42">
        <v>53</v>
      </c>
      <c r="B58" s="26" t="s">
        <v>98</v>
      </c>
      <c r="C58" s="26" t="s">
        <v>99</v>
      </c>
      <c r="D58" s="34" t="str">
        <f t="shared" si="24"/>
        <v>Raiskuma pamatskolas iekšējo inženiertīklu rekonstrukcija</v>
      </c>
      <c r="E58" s="34" t="str">
        <f t="shared" si="25"/>
        <v>12.04.2017</v>
      </c>
      <c r="F58" s="27">
        <v>15029</v>
      </c>
      <c r="G58" s="36">
        <f t="shared" si="26"/>
        <v>16716.97</v>
      </c>
      <c r="H58" s="36">
        <f t="shared" si="27"/>
        <v>16244.4</v>
      </c>
      <c r="I58" s="36">
        <f t="shared" si="28"/>
        <v>15782.91</v>
      </c>
      <c r="J58" s="36">
        <f t="shared" si="29"/>
        <v>15320.15</v>
      </c>
      <c r="K58" s="36">
        <f t="shared" si="30"/>
        <v>14862.15</v>
      </c>
      <c r="L58" s="37">
        <f t="shared" si="12"/>
        <v>14382.102554999999</v>
      </c>
      <c r="M58" s="36">
        <f>VLOOKUP($C58,$AS:$AT,2,0)-14382</f>
        <v>33982.069999999992</v>
      </c>
      <c r="N58" s="38">
        <f t="shared" si="4"/>
        <v>142319.75255499998</v>
      </c>
      <c r="Q58" t="str">
        <f t="shared" si="19"/>
        <v>Raiskuma pamatskolas iekšējo inženiertīklu rekonstrukcija</v>
      </c>
      <c r="R58" t="str">
        <f t="shared" si="20"/>
        <v>12.04.2017</v>
      </c>
      <c r="U58" s="8" t="s">
        <v>3</v>
      </c>
      <c r="V58" s="9" t="s">
        <v>375</v>
      </c>
      <c r="W58" s="8" t="s">
        <v>3</v>
      </c>
      <c r="X58" s="13" t="s">
        <v>376</v>
      </c>
      <c r="Z58" s="1" t="s">
        <v>104</v>
      </c>
      <c r="AA58" s="1" t="s">
        <v>105</v>
      </c>
      <c r="AB58" s="2">
        <v>18262.710000000003</v>
      </c>
      <c r="AD58" s="1" t="s">
        <v>110</v>
      </c>
      <c r="AE58" s="1" t="s">
        <v>111</v>
      </c>
      <c r="AF58" s="2">
        <v>16716.100000000002</v>
      </c>
      <c r="AH58" s="1" t="s">
        <v>116</v>
      </c>
      <c r="AI58" s="1" t="s">
        <v>117</v>
      </c>
      <c r="AJ58" s="2">
        <v>13666.960000000001</v>
      </c>
      <c r="AL58" s="1" t="s">
        <v>124</v>
      </c>
      <c r="AM58" s="1" t="s">
        <v>125</v>
      </c>
      <c r="AN58" s="2">
        <v>19490.989999999998</v>
      </c>
      <c r="AP58" s="1" t="s">
        <v>134</v>
      </c>
      <c r="AQ58" s="1" t="s">
        <v>135</v>
      </c>
      <c r="AR58" s="2">
        <v>2788.36</v>
      </c>
      <c r="AS58" s="1" t="s">
        <v>135</v>
      </c>
      <c r="AT58" s="2">
        <v>12103.55</v>
      </c>
    </row>
    <row r="59" spans="1:46" ht="20.25" customHeight="1" x14ac:dyDescent="0.3">
      <c r="A59" s="42">
        <v>54</v>
      </c>
      <c r="B59" s="26" t="s">
        <v>100</v>
      </c>
      <c r="C59" s="26" t="s">
        <v>101</v>
      </c>
      <c r="D59" s="34" t="str">
        <f t="shared" si="24"/>
        <v>P-323/2017-Rīgas ielas posma rekontsrukc.uzņmējd.vides uzlabošanai, Cēsīs</v>
      </c>
      <c r="E59" s="34" t="str">
        <f t="shared" si="25"/>
        <v>29.06.2017</v>
      </c>
      <c r="F59" s="27">
        <v>17749</v>
      </c>
      <c r="G59" s="36">
        <f t="shared" si="26"/>
        <v>20781.93</v>
      </c>
      <c r="H59" s="36">
        <f t="shared" si="27"/>
        <v>20236.829999999998</v>
      </c>
      <c r="I59" s="36">
        <f t="shared" si="28"/>
        <v>19708.98</v>
      </c>
      <c r="J59" s="36">
        <f t="shared" si="29"/>
        <v>19179.66</v>
      </c>
      <c r="K59" s="36">
        <f t="shared" si="30"/>
        <v>18660.28</v>
      </c>
      <c r="L59" s="37">
        <f t="shared" si="12"/>
        <v>18057.552956</v>
      </c>
      <c r="M59" s="36">
        <f>VLOOKUP($C59,$AS:$AT,2,0)-18058</f>
        <v>92257</v>
      </c>
      <c r="N59" s="38">
        <f t="shared" si="4"/>
        <v>226631.23295599999</v>
      </c>
      <c r="Q59" t="str">
        <f t="shared" si="19"/>
        <v>P-323/2017-Rīgas ielas posma rekontsrukc.uzņmējd.vides uzlabošanai, Cēsīs</v>
      </c>
      <c r="R59" t="str">
        <f t="shared" si="20"/>
        <v>29.06.2017</v>
      </c>
      <c r="U59" s="8" t="s">
        <v>277</v>
      </c>
      <c r="V59" s="9" t="s">
        <v>377</v>
      </c>
      <c r="W59" s="8" t="s">
        <v>277</v>
      </c>
      <c r="X59" s="13" t="s">
        <v>378</v>
      </c>
      <c r="Z59" s="1" t="s">
        <v>106</v>
      </c>
      <c r="AA59" s="1" t="s">
        <v>107</v>
      </c>
      <c r="AB59" s="2">
        <v>30295.599999999999</v>
      </c>
      <c r="AD59" s="1" t="s">
        <v>112</v>
      </c>
      <c r="AE59" s="1" t="s">
        <v>113</v>
      </c>
      <c r="AF59" s="2">
        <v>122817.26999999999</v>
      </c>
      <c r="AH59" s="1" t="s">
        <v>118</v>
      </c>
      <c r="AI59" s="1" t="s">
        <v>119</v>
      </c>
      <c r="AJ59" s="2">
        <v>23821.040000000001</v>
      </c>
      <c r="AL59" s="1" t="s">
        <v>126</v>
      </c>
      <c r="AM59" s="1" t="s">
        <v>127</v>
      </c>
      <c r="AN59" s="2">
        <v>21561.030000000002</v>
      </c>
      <c r="AP59" s="1" t="s">
        <v>136</v>
      </c>
      <c r="AQ59" s="1" t="s">
        <v>137</v>
      </c>
      <c r="AR59" s="2">
        <v>9557.369999999999</v>
      </c>
      <c r="AS59" s="1" t="s">
        <v>137</v>
      </c>
      <c r="AT59" s="2">
        <v>41485.960000000006</v>
      </c>
    </row>
    <row r="60" spans="1:46" ht="20.25" customHeight="1" x14ac:dyDescent="0.3">
      <c r="A60" s="42">
        <v>55</v>
      </c>
      <c r="B60" s="26" t="s">
        <v>102</v>
      </c>
      <c r="C60" s="26" t="s">
        <v>103</v>
      </c>
      <c r="D60" s="34" t="str">
        <f t="shared" si="24"/>
        <v>P-321/2017-Degradēto teritoriju revitalizācija Cēsu novadā 1.kārta</v>
      </c>
      <c r="E60" s="34" t="str">
        <f t="shared" si="25"/>
        <v>29.06.2017</v>
      </c>
      <c r="F60" s="27">
        <v>7841</v>
      </c>
      <c r="G60" s="36">
        <f t="shared" si="26"/>
        <v>9004.42</v>
      </c>
      <c r="H60" s="36">
        <f t="shared" si="27"/>
        <v>8759.0400000000009</v>
      </c>
      <c r="I60" s="36">
        <f t="shared" si="28"/>
        <v>8520.41</v>
      </c>
      <c r="J60" s="36">
        <f t="shared" si="29"/>
        <v>8281.1200000000008</v>
      </c>
      <c r="K60" s="36">
        <f t="shared" si="30"/>
        <v>8045.23</v>
      </c>
      <c r="L60" s="37">
        <f t="shared" si="12"/>
        <v>7785.3690709999992</v>
      </c>
      <c r="M60" s="36">
        <f>VLOOKUP($C60,$AS:$AT,2,0)-7785</f>
        <v>28850.199999999997</v>
      </c>
      <c r="N60" s="38">
        <f t="shared" si="4"/>
        <v>87086.789071000007</v>
      </c>
      <c r="Q60" t="str">
        <f t="shared" si="19"/>
        <v>P-321/2017-Degradēto teritoriju revitalizācija Cēsu novadā 1.kārta</v>
      </c>
      <c r="R60" t="str">
        <f t="shared" si="20"/>
        <v>29.06.2017</v>
      </c>
      <c r="U60" s="8" t="s">
        <v>19</v>
      </c>
      <c r="V60" s="9" t="s">
        <v>379</v>
      </c>
      <c r="W60" s="8" t="s">
        <v>19</v>
      </c>
      <c r="X60" s="13" t="s">
        <v>380</v>
      </c>
      <c r="Z60" s="1" t="s">
        <v>108</v>
      </c>
      <c r="AA60" s="1" t="s">
        <v>109</v>
      </c>
      <c r="AB60" s="2">
        <v>36525.43</v>
      </c>
      <c r="AD60" s="1" t="s">
        <v>114</v>
      </c>
      <c r="AE60" s="1" t="s">
        <v>115</v>
      </c>
      <c r="AF60" s="2">
        <v>63955.520000000004</v>
      </c>
      <c r="AH60" s="1" t="s">
        <v>120</v>
      </c>
      <c r="AI60" s="1" t="s">
        <v>121</v>
      </c>
      <c r="AJ60" s="2">
        <v>20240.93</v>
      </c>
      <c r="AL60" s="1" t="s">
        <v>128</v>
      </c>
      <c r="AM60" s="1" t="s">
        <v>129</v>
      </c>
      <c r="AN60" s="2">
        <v>24538.69</v>
      </c>
      <c r="AP60" s="1" t="s">
        <v>138</v>
      </c>
      <c r="AQ60" s="1" t="s">
        <v>139</v>
      </c>
      <c r="AR60" s="2">
        <v>5081.5599999999995</v>
      </c>
      <c r="AS60" s="1" t="s">
        <v>139</v>
      </c>
      <c r="AT60" s="2">
        <v>22057.659999999996</v>
      </c>
    </row>
    <row r="61" spans="1:46" ht="20.25" customHeight="1" x14ac:dyDescent="0.3">
      <c r="A61" s="42">
        <v>56</v>
      </c>
      <c r="B61" s="26" t="s">
        <v>104</v>
      </c>
      <c r="C61" s="26" t="s">
        <v>105</v>
      </c>
      <c r="D61" s="34" t="str">
        <f t="shared" si="24"/>
        <v>Straupes sporta zāles pārbūve</v>
      </c>
      <c r="E61" s="34" t="str">
        <f t="shared" si="25"/>
        <v>03.07.2017</v>
      </c>
      <c r="F61" s="27">
        <v>16182</v>
      </c>
      <c r="G61" s="36">
        <f t="shared" si="26"/>
        <v>18262.710000000003</v>
      </c>
      <c r="H61" s="36">
        <f t="shared" si="27"/>
        <v>17746.43</v>
      </c>
      <c r="I61" s="36">
        <f t="shared" si="28"/>
        <v>17242.27</v>
      </c>
      <c r="J61" s="36">
        <f t="shared" si="29"/>
        <v>16736.75</v>
      </c>
      <c r="K61" s="36">
        <f t="shared" si="30"/>
        <v>16236.380000000001</v>
      </c>
      <c r="L61" s="37">
        <f t="shared" si="12"/>
        <v>15711.944926000002</v>
      </c>
      <c r="M61" s="36">
        <f>VLOOKUP($C61,$AS:$AT,2,0)-15712</f>
        <v>37145.51999999999</v>
      </c>
      <c r="N61" s="38">
        <f t="shared" si="4"/>
        <v>155264.00492599999</v>
      </c>
      <c r="Q61" t="str">
        <f t="shared" si="19"/>
        <v>Straupes sporta zāles pārbūve</v>
      </c>
      <c r="R61" t="str">
        <f t="shared" si="20"/>
        <v>03.07.2017</v>
      </c>
      <c r="U61" s="8" t="s">
        <v>7</v>
      </c>
      <c r="V61" s="9" t="s">
        <v>381</v>
      </c>
      <c r="W61" s="8" t="s">
        <v>7</v>
      </c>
      <c r="X61" s="13" t="s">
        <v>309</v>
      </c>
      <c r="Z61" s="1" t="s">
        <v>110</v>
      </c>
      <c r="AA61" s="1" t="s">
        <v>111</v>
      </c>
      <c r="AB61" s="2">
        <v>17239.789999999997</v>
      </c>
      <c r="AD61" s="1" t="s">
        <v>116</v>
      </c>
      <c r="AE61" s="1" t="s">
        <v>117</v>
      </c>
      <c r="AF61" s="2">
        <v>14123.44</v>
      </c>
      <c r="AH61" s="1" t="s">
        <v>122</v>
      </c>
      <c r="AI61" s="1" t="s">
        <v>123</v>
      </c>
      <c r="AJ61" s="2">
        <v>6964.4699999999993</v>
      </c>
      <c r="AL61" s="1" t="s">
        <v>130</v>
      </c>
      <c r="AM61" s="1" t="s">
        <v>131</v>
      </c>
      <c r="AN61" s="2">
        <v>13763.079999999998</v>
      </c>
      <c r="AP61" s="1" t="s">
        <v>140</v>
      </c>
      <c r="AQ61" s="1" t="s">
        <v>141</v>
      </c>
      <c r="AR61" s="2">
        <v>147144.93000000002</v>
      </c>
      <c r="AS61" s="1" t="s">
        <v>141</v>
      </c>
      <c r="AT61" s="2">
        <v>1482181.0400000003</v>
      </c>
    </row>
    <row r="62" spans="1:46" ht="20.25" customHeight="1" x14ac:dyDescent="0.3">
      <c r="A62" s="42">
        <v>57</v>
      </c>
      <c r="B62" s="26" t="s">
        <v>106</v>
      </c>
      <c r="C62" s="26" t="s">
        <v>107</v>
      </c>
      <c r="D62" s="34" t="str">
        <f t="shared" si="24"/>
        <v>Šķūņa rekonstrukcijas projekts</v>
      </c>
      <c r="E62" s="34" t="str">
        <f t="shared" si="25"/>
        <v>03.07.2017</v>
      </c>
      <c r="F62" s="27">
        <v>26843</v>
      </c>
      <c r="G62" s="36">
        <f t="shared" si="26"/>
        <v>30295.599999999999</v>
      </c>
      <c r="H62" s="36">
        <f t="shared" si="27"/>
        <v>29439.15</v>
      </c>
      <c r="I62" s="36">
        <f t="shared" si="28"/>
        <v>28602.83</v>
      </c>
      <c r="J62" s="36">
        <f t="shared" si="29"/>
        <v>27764.19</v>
      </c>
      <c r="K62" s="36">
        <f t="shared" si="30"/>
        <v>26934.149999999998</v>
      </c>
      <c r="L62" s="37">
        <f t="shared" si="12"/>
        <v>26064.176954999999</v>
      </c>
      <c r="M62" s="36">
        <f>VLOOKUP($C62,$AS:$AT,2,0)-26064</f>
        <v>61620.19</v>
      </c>
      <c r="N62" s="38">
        <f t="shared" si="4"/>
        <v>257563.28695499999</v>
      </c>
      <c r="Q62" t="str">
        <f t="shared" si="19"/>
        <v>Šķūņa rekonstrukcijas projekts</v>
      </c>
      <c r="R62" t="str">
        <f t="shared" si="20"/>
        <v>03.07.2017</v>
      </c>
      <c r="U62" s="8" t="s">
        <v>29</v>
      </c>
      <c r="V62" s="9" t="s">
        <v>382</v>
      </c>
      <c r="W62" s="8" t="s">
        <v>29</v>
      </c>
      <c r="X62" s="13" t="s">
        <v>383</v>
      </c>
      <c r="Z62" s="1" t="s">
        <v>112</v>
      </c>
      <c r="AA62" s="1" t="s">
        <v>113</v>
      </c>
      <c r="AB62" s="2">
        <v>125836.52</v>
      </c>
      <c r="AD62" s="1" t="s">
        <v>118</v>
      </c>
      <c r="AE62" s="1" t="s">
        <v>119</v>
      </c>
      <c r="AF62" s="2">
        <v>24566.710000000003</v>
      </c>
      <c r="AH62" s="1" t="s">
        <v>124</v>
      </c>
      <c r="AI62" s="1" t="s">
        <v>125</v>
      </c>
      <c r="AJ62" s="2">
        <v>20117.550000000003</v>
      </c>
      <c r="AL62" s="1" t="s">
        <v>132</v>
      </c>
      <c r="AM62" s="1" t="s">
        <v>133</v>
      </c>
      <c r="AN62" s="2">
        <v>88123.73000000001</v>
      </c>
      <c r="AP62" s="1" t="s">
        <v>142</v>
      </c>
      <c r="AQ62" s="1" t="s">
        <v>143</v>
      </c>
      <c r="AR62" s="2">
        <v>15426.91</v>
      </c>
      <c r="AS62" s="1" t="s">
        <v>143</v>
      </c>
      <c r="AT62" s="2">
        <v>70239.719999999987</v>
      </c>
    </row>
    <row r="63" spans="1:46" ht="20.25" customHeight="1" x14ac:dyDescent="0.3">
      <c r="A63" s="42">
        <v>58</v>
      </c>
      <c r="B63" s="26" t="s">
        <v>108</v>
      </c>
      <c r="C63" s="26" t="s">
        <v>109</v>
      </c>
      <c r="D63" s="34" t="str">
        <f t="shared" si="24"/>
        <v>Gājēju ceļa pārbūve</v>
      </c>
      <c r="E63" s="34" t="str">
        <f t="shared" si="25"/>
        <v>06.07.2017</v>
      </c>
      <c r="F63" s="27">
        <v>32285</v>
      </c>
      <c r="G63" s="36">
        <f t="shared" si="26"/>
        <v>36525.43</v>
      </c>
      <c r="H63" s="36">
        <f t="shared" si="27"/>
        <v>35492.879999999997</v>
      </c>
      <c r="I63" s="36">
        <f t="shared" si="28"/>
        <v>34484.57</v>
      </c>
      <c r="J63" s="36">
        <f t="shared" si="29"/>
        <v>33473.47</v>
      </c>
      <c r="K63" s="36">
        <f t="shared" si="30"/>
        <v>32472.77</v>
      </c>
      <c r="L63" s="37">
        <f t="shared" si="12"/>
        <v>31423.899529000002</v>
      </c>
      <c r="M63" s="36">
        <f>VLOOKUP($C63,$AS:$AT,2,0)-31424</f>
        <v>74291.119999999981</v>
      </c>
      <c r="N63" s="38">
        <f t="shared" si="4"/>
        <v>310449.13952899998</v>
      </c>
      <c r="Q63" t="str">
        <f t="shared" si="19"/>
        <v>Gājēju ceļa pārbūve</v>
      </c>
      <c r="R63" t="str">
        <f t="shared" si="20"/>
        <v>06.07.2017</v>
      </c>
      <c r="U63" s="8" t="s">
        <v>263</v>
      </c>
      <c r="V63" s="9" t="s">
        <v>384</v>
      </c>
      <c r="W63" s="8" t="s">
        <v>263</v>
      </c>
      <c r="X63" s="13" t="s">
        <v>385</v>
      </c>
      <c r="Z63" s="1" t="s">
        <v>114</v>
      </c>
      <c r="AA63" s="1" t="s">
        <v>115</v>
      </c>
      <c r="AB63" s="2">
        <v>65615.039999999994</v>
      </c>
      <c r="AD63" s="1" t="s">
        <v>120</v>
      </c>
      <c r="AE63" s="1" t="s">
        <v>121</v>
      </c>
      <c r="AF63" s="2">
        <v>20815.900000000001</v>
      </c>
      <c r="AH63" s="1" t="s">
        <v>126</v>
      </c>
      <c r="AI63" s="1" t="s">
        <v>127</v>
      </c>
      <c r="AJ63" s="2">
        <v>22193.200000000001</v>
      </c>
      <c r="AL63" s="1" t="s">
        <v>134</v>
      </c>
      <c r="AM63" s="1" t="s">
        <v>135</v>
      </c>
      <c r="AN63" s="2">
        <v>2870.79</v>
      </c>
      <c r="AP63" s="1" t="s">
        <v>144</v>
      </c>
      <c r="AQ63" s="1" t="s">
        <v>145</v>
      </c>
      <c r="AR63" s="2">
        <v>3890.94</v>
      </c>
      <c r="AS63" s="1" t="s">
        <v>145</v>
      </c>
      <c r="AT63" s="2">
        <v>4.6599999999998545</v>
      </c>
    </row>
    <row r="64" spans="1:46" ht="20.25" customHeight="1" x14ac:dyDescent="0.3">
      <c r="A64" s="42">
        <v>59</v>
      </c>
      <c r="B64" s="26" t="s">
        <v>110</v>
      </c>
      <c r="C64" s="26" t="s">
        <v>111</v>
      </c>
      <c r="D64" s="34" t="str">
        <f t="shared" si="24"/>
        <v>P-466/2017-pr."Līvu pamatskolas centrālapkures izbūve"īstenošanai</v>
      </c>
      <c r="E64" s="34" t="str">
        <f t="shared" si="25"/>
        <v>25.08.2017</v>
      </c>
      <c r="F64" s="27">
        <v>15657</v>
      </c>
      <c r="G64" s="36">
        <f t="shared" si="26"/>
        <v>17239.789999999997</v>
      </c>
      <c r="H64" s="36">
        <f t="shared" si="27"/>
        <v>16716.100000000002</v>
      </c>
      <c r="I64" s="36">
        <f t="shared" si="28"/>
        <v>16200.87</v>
      </c>
      <c r="J64" s="36">
        <f t="shared" si="29"/>
        <v>15684.19</v>
      </c>
      <c r="K64" s="36">
        <f t="shared" si="30"/>
        <v>15168.99</v>
      </c>
      <c r="L64" s="37">
        <v>11053</v>
      </c>
      <c r="M64" s="36">
        <v>0</v>
      </c>
      <c r="N64" s="38">
        <f t="shared" si="4"/>
        <v>107719.94</v>
      </c>
      <c r="Q64" t="str">
        <f t="shared" si="19"/>
        <v>P-466/2017-pr."Līvu pamatskolas centrālapkures izbūve"īstenošanai</v>
      </c>
      <c r="R64" t="str">
        <f t="shared" si="20"/>
        <v>25.08.2017</v>
      </c>
      <c r="U64" s="8" t="s">
        <v>261</v>
      </c>
      <c r="V64" s="9" t="s">
        <v>386</v>
      </c>
      <c r="W64" s="8" t="s">
        <v>261</v>
      </c>
      <c r="X64" s="13" t="s">
        <v>387</v>
      </c>
      <c r="Z64" s="1" t="s">
        <v>116</v>
      </c>
      <c r="AA64" s="1" t="s">
        <v>117</v>
      </c>
      <c r="AB64" s="2">
        <v>14585.55</v>
      </c>
      <c r="AD64" s="1" t="s">
        <v>122</v>
      </c>
      <c r="AE64" s="1" t="s">
        <v>123</v>
      </c>
      <c r="AF64" s="2">
        <v>7162.3200000000006</v>
      </c>
      <c r="AH64" s="1" t="s">
        <v>128</v>
      </c>
      <c r="AI64" s="1" t="s">
        <v>129</v>
      </c>
      <c r="AJ64" s="2">
        <v>25258.170000000002</v>
      </c>
      <c r="AL64" s="1" t="s">
        <v>136</v>
      </c>
      <c r="AM64" s="1" t="s">
        <v>137</v>
      </c>
      <c r="AN64" s="2">
        <v>9839.84</v>
      </c>
      <c r="AP64" s="1" t="s">
        <v>146</v>
      </c>
      <c r="AQ64" s="1" t="s">
        <v>147</v>
      </c>
      <c r="AR64" s="2">
        <v>4909.05</v>
      </c>
      <c r="AS64" s="1" t="s">
        <v>147</v>
      </c>
      <c r="AT64" s="2">
        <v>5.8699999999998909</v>
      </c>
    </row>
    <row r="65" spans="1:46" ht="20.25" customHeight="1" x14ac:dyDescent="0.3">
      <c r="A65" s="42">
        <v>60</v>
      </c>
      <c r="B65" s="26" t="s">
        <v>112</v>
      </c>
      <c r="C65" s="26" t="s">
        <v>113</v>
      </c>
      <c r="D65" s="34" t="str">
        <f t="shared" si="24"/>
        <v>P-467/2017-pr."Cēsu pilsētas stadiona rekonstrukcija"īstenošanai</v>
      </c>
      <c r="E65" s="34" t="str">
        <f t="shared" si="25"/>
        <v>25.08.2017</v>
      </c>
      <c r="F65" s="27">
        <v>99368</v>
      </c>
      <c r="G65" s="36">
        <f t="shared" si="26"/>
        <v>125836.52</v>
      </c>
      <c r="H65" s="36">
        <f t="shared" si="27"/>
        <v>122817.26999999999</v>
      </c>
      <c r="I65" s="36">
        <f t="shared" si="28"/>
        <v>119925.06999999999</v>
      </c>
      <c r="J65" s="36">
        <f t="shared" si="29"/>
        <v>117024.92</v>
      </c>
      <c r="K65" s="36">
        <f t="shared" si="30"/>
        <v>114212.12</v>
      </c>
      <c r="L65" s="37">
        <f t="shared" si="12"/>
        <v>110523.068524</v>
      </c>
      <c r="M65" s="36">
        <f>VLOOKUP($C65,$AS:$AT,2,0)-110523</f>
        <v>933448.89000000025</v>
      </c>
      <c r="N65" s="38">
        <f t="shared" si="4"/>
        <v>1743155.8585240003</v>
      </c>
      <c r="Q65" t="str">
        <f t="shared" si="19"/>
        <v>P-467/2017-pr."Cēsu pilsētas stadiona rekonstrukcija"īstenošanai</v>
      </c>
      <c r="R65" t="str">
        <f t="shared" si="20"/>
        <v>25.08.2017</v>
      </c>
      <c r="U65" s="8" t="s">
        <v>223</v>
      </c>
      <c r="V65" s="9" t="s">
        <v>388</v>
      </c>
      <c r="W65" s="8" t="s">
        <v>223</v>
      </c>
      <c r="X65" s="14" t="s">
        <v>389</v>
      </c>
      <c r="Z65" s="1" t="s">
        <v>118</v>
      </c>
      <c r="AA65" s="1" t="s">
        <v>119</v>
      </c>
      <c r="AB65" s="2">
        <v>25325.699999999997</v>
      </c>
      <c r="AD65" s="1" t="s">
        <v>124</v>
      </c>
      <c r="AE65" s="1" t="s">
        <v>125</v>
      </c>
      <c r="AF65" s="2">
        <v>20742.38</v>
      </c>
      <c r="AH65" s="1" t="s">
        <v>130</v>
      </c>
      <c r="AI65" s="1" t="s">
        <v>131</v>
      </c>
      <c r="AJ65" s="2">
        <v>14166.63</v>
      </c>
      <c r="AL65" s="1" t="s">
        <v>138</v>
      </c>
      <c r="AM65" s="1" t="s">
        <v>139</v>
      </c>
      <c r="AN65" s="2">
        <v>5231.7699999999995</v>
      </c>
      <c r="AP65" s="1" t="s">
        <v>148</v>
      </c>
      <c r="AQ65" s="1" t="s">
        <v>149</v>
      </c>
      <c r="AR65" s="2">
        <v>20134.920000000002</v>
      </c>
      <c r="AS65" s="1" t="s">
        <v>149</v>
      </c>
      <c r="AT65" s="2">
        <v>24.089999999996508</v>
      </c>
    </row>
    <row r="66" spans="1:46" ht="20.25" customHeight="1" x14ac:dyDescent="0.3">
      <c r="A66" s="42">
        <v>61</v>
      </c>
      <c r="B66" s="26" t="s">
        <v>114</v>
      </c>
      <c r="C66" s="26" t="s">
        <v>115</v>
      </c>
      <c r="D66" s="34" t="str">
        <f t="shared" si="24"/>
        <v>P-657/2017-ERAF pr.Nr.5.5.1.0/17/I/004"Kultūra,vēsture,arhitektūra Gaujas un laiku lokos"'</v>
      </c>
      <c r="E66" s="34" t="str">
        <f t="shared" si="25"/>
        <v>05.12.2017</v>
      </c>
      <c r="F66" s="27">
        <v>62457</v>
      </c>
      <c r="G66" s="36">
        <f t="shared" si="26"/>
        <v>65615.039999999994</v>
      </c>
      <c r="H66" s="36">
        <f t="shared" si="27"/>
        <v>63955.520000000004</v>
      </c>
      <c r="I66" s="36">
        <f t="shared" si="28"/>
        <v>62057.579999999994</v>
      </c>
      <c r="J66" s="36">
        <f t="shared" si="29"/>
        <v>60154.39</v>
      </c>
      <c r="K66" s="36">
        <f t="shared" si="30"/>
        <v>58262.950000000004</v>
      </c>
      <c r="L66" s="37">
        <f t="shared" si="12"/>
        <v>56381.056715000006</v>
      </c>
      <c r="M66" s="36">
        <f>VLOOKUP($C66,$AS:$AT,2,0)-56381</f>
        <v>54512.209999999992</v>
      </c>
      <c r="N66" s="38">
        <f t="shared" si="4"/>
        <v>483395.74671500002</v>
      </c>
      <c r="Q66" t="str">
        <f t="shared" si="19"/>
        <v>P-657/2017-ERAF pr.Nr.5.5.1.0/17/I/004"Kultūra,vēsture,arhitektūra Gaujas un laiku lokos"'</v>
      </c>
      <c r="R66" t="str">
        <f t="shared" si="20"/>
        <v>05.12.2017</v>
      </c>
      <c r="U66" s="8" t="s">
        <v>225</v>
      </c>
      <c r="V66" s="9" t="s">
        <v>390</v>
      </c>
      <c r="W66" s="8" t="s">
        <v>225</v>
      </c>
      <c r="X66" s="14" t="s">
        <v>391</v>
      </c>
      <c r="Z66" s="1" t="s">
        <v>120</v>
      </c>
      <c r="AA66" s="1" t="s">
        <v>121</v>
      </c>
      <c r="AB66" s="2">
        <v>21406.29</v>
      </c>
      <c r="AD66" s="1" t="s">
        <v>126</v>
      </c>
      <c r="AE66" s="1" t="s">
        <v>127</v>
      </c>
      <c r="AF66" s="2">
        <v>22823.640000000003</v>
      </c>
      <c r="AH66" s="1" t="s">
        <v>132</v>
      </c>
      <c r="AI66" s="1" t="s">
        <v>133</v>
      </c>
      <c r="AJ66" s="2">
        <v>90483.96</v>
      </c>
      <c r="AL66" s="1" t="s">
        <v>140</v>
      </c>
      <c r="AM66" s="1" t="s">
        <v>141</v>
      </c>
      <c r="AN66" s="2">
        <v>150644.71</v>
      </c>
      <c r="AP66" s="1" t="s">
        <v>150</v>
      </c>
      <c r="AQ66" s="1" t="s">
        <v>151</v>
      </c>
      <c r="AR66" s="2">
        <v>1472.11</v>
      </c>
      <c r="AS66" s="1" t="s">
        <v>151</v>
      </c>
      <c r="AT66" s="2">
        <v>717.62000000000012</v>
      </c>
    </row>
    <row r="67" spans="1:46" ht="20.25" customHeight="1" x14ac:dyDescent="0.3">
      <c r="A67" s="42">
        <v>62</v>
      </c>
      <c r="B67" s="26" t="s">
        <v>266</v>
      </c>
      <c r="C67" s="26" t="s">
        <v>267</v>
      </c>
      <c r="D67" s="34" t="str">
        <f t="shared" si="24"/>
        <v>P-658/2017-pr."Cēsu pils.Pastariņa sākumskolas ēkas atjaunošana par zema enerģijas patēriņa  ēku,Raunas 7, Cēsīs"</v>
      </c>
      <c r="E67" s="34" t="str">
        <f t="shared" si="25"/>
        <v>05.12.2017</v>
      </c>
      <c r="F67" s="27">
        <v>10500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7">
        <f t="shared" si="12"/>
        <v>0</v>
      </c>
      <c r="M67" s="36">
        <v>0</v>
      </c>
      <c r="N67" s="38">
        <f t="shared" si="4"/>
        <v>10500</v>
      </c>
      <c r="Q67" t="str">
        <f t="shared" si="19"/>
        <v>P-658/2017-pr."Cēsu pils.Pastariņa sākumskolas ēkas atjaunošana par zema enerģijas patēriņa  ēku,Raunas 7, Cēsīs"</v>
      </c>
      <c r="R67" t="str">
        <f t="shared" si="20"/>
        <v>05.12.2017</v>
      </c>
      <c r="U67" s="8" t="s">
        <v>221</v>
      </c>
      <c r="V67" s="15" t="s">
        <v>392</v>
      </c>
      <c r="W67" s="8" t="s">
        <v>221</v>
      </c>
      <c r="X67" s="14" t="s">
        <v>391</v>
      </c>
      <c r="Z67" s="1" t="s">
        <v>122</v>
      </c>
      <c r="AA67" s="1" t="s">
        <v>123</v>
      </c>
      <c r="AB67" s="2">
        <v>7365.46</v>
      </c>
      <c r="AD67" s="1" t="s">
        <v>128</v>
      </c>
      <c r="AE67" s="1" t="s">
        <v>129</v>
      </c>
      <c r="AF67" s="2">
        <v>25975.69</v>
      </c>
      <c r="AH67" s="1" t="s">
        <v>134</v>
      </c>
      <c r="AI67" s="1" t="s">
        <v>135</v>
      </c>
      <c r="AJ67" s="2">
        <v>2954.36</v>
      </c>
      <c r="AL67" s="1" t="s">
        <v>142</v>
      </c>
      <c r="AM67" s="1" t="s">
        <v>143</v>
      </c>
      <c r="AN67" s="2">
        <v>15879.18</v>
      </c>
      <c r="AP67" s="1" t="s">
        <v>152</v>
      </c>
      <c r="AQ67" s="1" t="s">
        <v>153</v>
      </c>
      <c r="AR67" s="2">
        <v>608.12</v>
      </c>
      <c r="AS67" s="1" t="s">
        <v>153</v>
      </c>
      <c r="AT67" s="2">
        <v>296.88</v>
      </c>
    </row>
    <row r="68" spans="1:46" ht="20.25" customHeight="1" x14ac:dyDescent="0.3">
      <c r="A68" s="42">
        <v>63</v>
      </c>
      <c r="B68" s="26" t="s">
        <v>116</v>
      </c>
      <c r="C68" s="26" t="s">
        <v>117</v>
      </c>
      <c r="D68" s="34" t="str">
        <f t="shared" si="24"/>
        <v>P-12/2018-pr."Līvu sākumskolas  siltumapgādes sistēmas izbūve" īstenošanai</v>
      </c>
      <c r="E68" s="34" t="str">
        <f t="shared" si="25"/>
        <v>31.01.2018</v>
      </c>
      <c r="F68" s="27">
        <v>14257</v>
      </c>
      <c r="G68" s="36">
        <f t="shared" ref="G68:G98" si="31">VLOOKUP(C68,$AA:$AB,2,0)</f>
        <v>14585.55</v>
      </c>
      <c r="H68" s="36">
        <f t="shared" ref="H68:H92" si="32">VLOOKUP(C68,$AE:$AF,2,0)</f>
        <v>14123.44</v>
      </c>
      <c r="I68" s="36">
        <f t="shared" ref="I68:I92" si="33">VLOOKUP($C68,$AI:$AJ,2,0)</f>
        <v>13666.960000000001</v>
      </c>
      <c r="J68" s="36">
        <f t="shared" ref="J68:J92" si="34">VLOOKUP($C68,$AM:$AN,2,0)</f>
        <v>13209.279999999999</v>
      </c>
      <c r="K68" s="36">
        <f t="shared" ref="K68:K92" si="35">VLOOKUP($C68,$AQ:$AR,2,0)</f>
        <v>3236.83</v>
      </c>
      <c r="L68" s="37">
        <v>0</v>
      </c>
      <c r="M68" s="36">
        <f>VLOOKUP($C68,$AS:$AT,2,0)</f>
        <v>0</v>
      </c>
      <c r="N68" s="38">
        <f t="shared" si="4"/>
        <v>73079.06</v>
      </c>
      <c r="Q68" t="str">
        <f t="shared" si="19"/>
        <v>P-12/2018-pr."Līvu sākumskolas  siltumapgādes sistēmas izbūve" īstenošanai</v>
      </c>
      <c r="R68" t="str">
        <f t="shared" si="20"/>
        <v>31.01.2018</v>
      </c>
      <c r="U68" s="8" t="s">
        <v>233</v>
      </c>
      <c r="V68" s="9" t="s">
        <v>393</v>
      </c>
      <c r="W68" s="8" t="s">
        <v>233</v>
      </c>
      <c r="X68" s="14" t="s">
        <v>394</v>
      </c>
      <c r="Z68" s="1" t="s">
        <v>124</v>
      </c>
      <c r="AA68" s="1" t="s">
        <v>125</v>
      </c>
      <c r="AB68" s="2">
        <v>21378.81</v>
      </c>
      <c r="AD68" s="1" t="s">
        <v>130</v>
      </c>
      <c r="AE68" s="1" t="s">
        <v>131</v>
      </c>
      <c r="AF68" s="2">
        <v>14569.07</v>
      </c>
      <c r="AH68" s="1" t="s">
        <v>136</v>
      </c>
      <c r="AI68" s="1" t="s">
        <v>137</v>
      </c>
      <c r="AJ68" s="2">
        <v>10126.26</v>
      </c>
      <c r="AL68" s="1" t="s">
        <v>144</v>
      </c>
      <c r="AM68" s="1" t="s">
        <v>145</v>
      </c>
      <c r="AN68" s="2">
        <v>4026.8799999999997</v>
      </c>
      <c r="AP68" s="1" t="s">
        <v>154</v>
      </c>
      <c r="AQ68" s="1" t="s">
        <v>155</v>
      </c>
      <c r="AR68" s="2">
        <v>39503.380000000005</v>
      </c>
      <c r="AS68" s="1" t="s">
        <v>155</v>
      </c>
      <c r="AT68" s="2">
        <v>196528.44</v>
      </c>
    </row>
    <row r="69" spans="1:46" ht="20.25" customHeight="1" x14ac:dyDescent="0.3">
      <c r="A69" s="42">
        <v>64</v>
      </c>
      <c r="B69" s="26" t="s">
        <v>118</v>
      </c>
      <c r="C69" s="26" t="s">
        <v>119</v>
      </c>
      <c r="D69" s="34" t="str">
        <f t="shared" si="24"/>
        <v>P-63/2018 Telpu grupas vienkāršota atjaunošana Amatas novada Drabešu Jaunajā pamatskolā</v>
      </c>
      <c r="E69" s="34" t="str">
        <f t="shared" si="25"/>
        <v>07.03.2018</v>
      </c>
      <c r="F69" s="27">
        <v>23954</v>
      </c>
      <c r="G69" s="36">
        <f t="shared" si="31"/>
        <v>25325.699999999997</v>
      </c>
      <c r="H69" s="36">
        <f t="shared" si="32"/>
        <v>24566.710000000003</v>
      </c>
      <c r="I69" s="36">
        <f t="shared" si="33"/>
        <v>23821.040000000001</v>
      </c>
      <c r="J69" s="36">
        <f t="shared" si="34"/>
        <v>23073.27</v>
      </c>
      <c r="K69" s="36">
        <f t="shared" si="35"/>
        <v>22328.649999999998</v>
      </c>
      <c r="L69" s="37">
        <f t="shared" si="12"/>
        <v>21607.434604999999</v>
      </c>
      <c r="M69" s="36">
        <f>VLOOKUP($C69,$AS:$AT,2,0)-21607</f>
        <v>5273.4500000000007</v>
      </c>
      <c r="N69" s="38">
        <f t="shared" si="4"/>
        <v>169950.25460500002</v>
      </c>
      <c r="Q69" t="str">
        <f t="shared" si="19"/>
        <v>P-63/2018 Telpu grupas vienkāršota atjaunošana Amatas novada Drabešu Jaunajā pamatskolā</v>
      </c>
      <c r="R69" t="str">
        <f t="shared" si="20"/>
        <v>07.03.2018</v>
      </c>
      <c r="U69" s="8" t="s">
        <v>239</v>
      </c>
      <c r="V69" s="16" t="s">
        <v>395</v>
      </c>
      <c r="W69" s="8" t="s">
        <v>239</v>
      </c>
      <c r="X69" s="14" t="s">
        <v>396</v>
      </c>
      <c r="Z69" s="1" t="s">
        <v>126</v>
      </c>
      <c r="AA69" s="1" t="s">
        <v>127</v>
      </c>
      <c r="AB69" s="2">
        <v>23470.98</v>
      </c>
      <c r="AD69" s="1" t="s">
        <v>132</v>
      </c>
      <c r="AE69" s="1" t="s">
        <v>133</v>
      </c>
      <c r="AF69" s="2">
        <v>92837.77</v>
      </c>
      <c r="AH69" s="1" t="s">
        <v>138</v>
      </c>
      <c r="AI69" s="1" t="s">
        <v>139</v>
      </c>
      <c r="AJ69" s="2">
        <v>5384.05</v>
      </c>
      <c r="AL69" s="1" t="s">
        <v>146</v>
      </c>
      <c r="AM69" s="1" t="s">
        <v>147</v>
      </c>
      <c r="AN69" s="2">
        <v>5080.51</v>
      </c>
      <c r="AP69" s="1" t="s">
        <v>156</v>
      </c>
      <c r="AQ69" s="1" t="s">
        <v>157</v>
      </c>
      <c r="AR69" s="2">
        <v>31698.010000000002</v>
      </c>
      <c r="AS69" s="1" t="s">
        <v>157</v>
      </c>
      <c r="AT69" s="2">
        <v>15475.239999999998</v>
      </c>
    </row>
    <row r="70" spans="1:46" ht="20.25" customHeight="1" x14ac:dyDescent="0.3">
      <c r="A70" s="42">
        <v>65</v>
      </c>
      <c r="B70" s="26" t="s">
        <v>120</v>
      </c>
      <c r="C70" s="26" t="s">
        <v>121</v>
      </c>
      <c r="D70" s="34" t="str">
        <f t="shared" si="24"/>
        <v>Pārgaujas novada pašvaldības grants ceļu pārbūvei</v>
      </c>
      <c r="E70" s="34" t="str">
        <f t="shared" si="25"/>
        <v>16.05.2018</v>
      </c>
      <c r="F70" s="27">
        <v>18746</v>
      </c>
      <c r="G70" s="36">
        <f t="shared" si="31"/>
        <v>21406.29</v>
      </c>
      <c r="H70" s="36">
        <f t="shared" si="32"/>
        <v>20815.900000000001</v>
      </c>
      <c r="I70" s="36">
        <f t="shared" si="33"/>
        <v>20240.93</v>
      </c>
      <c r="J70" s="36">
        <f t="shared" si="34"/>
        <v>19664.36</v>
      </c>
      <c r="K70" s="36">
        <f t="shared" si="35"/>
        <v>19095.29</v>
      </c>
      <c r="L70" s="37">
        <f t="shared" si="12"/>
        <v>18478.512133</v>
      </c>
      <c r="M70" s="36">
        <f>VLOOKUP($C70,$AS:$AT,2,0)-18479</f>
        <v>60293.149999999994</v>
      </c>
      <c r="N70" s="38">
        <f t="shared" si="4"/>
        <v>198740.43213299999</v>
      </c>
      <c r="Q70" t="str">
        <f t="shared" ref="Q70:Q101" si="36">VLOOKUP($C70,$U:$X,2,0)</f>
        <v>Pārgaujas novada pašvaldības grants ceļu pārbūvei</v>
      </c>
      <c r="R70" t="str">
        <f t="shared" ref="R70:R101" si="37">VLOOKUP($C70,$W:$X,2,0)</f>
        <v>16.05.2018</v>
      </c>
      <c r="U70" s="8" t="s">
        <v>278</v>
      </c>
      <c r="V70" s="17" t="s">
        <v>397</v>
      </c>
      <c r="W70" s="8" t="s">
        <v>278</v>
      </c>
      <c r="X70" s="14" t="s">
        <v>398</v>
      </c>
      <c r="Z70" s="1" t="s">
        <v>128</v>
      </c>
      <c r="AA70" s="1" t="s">
        <v>129</v>
      </c>
      <c r="AB70" s="2">
        <v>26712.41</v>
      </c>
      <c r="AD70" s="1" t="s">
        <v>134</v>
      </c>
      <c r="AE70" s="1" t="s">
        <v>135</v>
      </c>
      <c r="AF70" s="2">
        <v>3037.67</v>
      </c>
      <c r="AH70" s="1" t="s">
        <v>140</v>
      </c>
      <c r="AI70" s="1" t="s">
        <v>141</v>
      </c>
      <c r="AJ70" s="2">
        <v>154265.92000000001</v>
      </c>
      <c r="AL70" s="1" t="s">
        <v>148</v>
      </c>
      <c r="AM70" s="1" t="s">
        <v>149</v>
      </c>
      <c r="AN70" s="2">
        <v>20838.25</v>
      </c>
      <c r="AP70" s="1" t="s">
        <v>158</v>
      </c>
      <c r="AQ70" s="1" t="s">
        <v>159</v>
      </c>
      <c r="AR70" s="2">
        <v>29961.82</v>
      </c>
      <c r="AS70" s="1" t="s">
        <v>159</v>
      </c>
      <c r="AT70" s="2">
        <v>149059.37</v>
      </c>
    </row>
    <row r="71" spans="1:46" ht="20.25" customHeight="1" x14ac:dyDescent="0.3">
      <c r="A71" s="42">
        <v>66</v>
      </c>
      <c r="B71" s="26" t="s">
        <v>122</v>
      </c>
      <c r="C71" s="26" t="s">
        <v>123</v>
      </c>
      <c r="D71" s="34" t="str">
        <f t="shared" si="24"/>
        <v>Infrastruktūras un komunikāciju sakārtošanai Jaunpiebalgā</v>
      </c>
      <c r="E71" s="34" t="str">
        <f t="shared" si="25"/>
        <v>31.05.2018</v>
      </c>
      <c r="F71" s="27">
        <v>6439</v>
      </c>
      <c r="G71" s="36">
        <f t="shared" si="31"/>
        <v>7365.46</v>
      </c>
      <c r="H71" s="36">
        <f t="shared" si="32"/>
        <v>7162.3200000000006</v>
      </c>
      <c r="I71" s="36">
        <f t="shared" si="33"/>
        <v>6964.4699999999993</v>
      </c>
      <c r="J71" s="36">
        <f t="shared" si="34"/>
        <v>6766.06</v>
      </c>
      <c r="K71" s="36">
        <f t="shared" si="35"/>
        <v>6570.26</v>
      </c>
      <c r="L71" s="37">
        <f t="shared" si="12"/>
        <v>6358.040602</v>
      </c>
      <c r="M71" s="36">
        <f>VLOOKUP($C71,$AS:$AT,2,0)-6358</f>
        <v>20749.879999999997</v>
      </c>
      <c r="N71" s="38">
        <f t="shared" ref="N71:N134" si="38">SUM(F71:M71)</f>
        <v>68375.490602000005</v>
      </c>
      <c r="Q71" t="str">
        <f t="shared" si="36"/>
        <v>Infrastruktūras un komunikāciju sakārtošanai Jaunpiebalgā</v>
      </c>
      <c r="R71" t="str">
        <f t="shared" si="37"/>
        <v>31.05.2018</v>
      </c>
      <c r="U71" s="9" t="s">
        <v>1</v>
      </c>
      <c r="V71" s="9" t="s">
        <v>399</v>
      </c>
      <c r="W71" s="9" t="s">
        <v>1</v>
      </c>
      <c r="X71" s="13" t="s">
        <v>400</v>
      </c>
      <c r="Z71" s="1" t="s">
        <v>130</v>
      </c>
      <c r="AA71" s="1" t="s">
        <v>131</v>
      </c>
      <c r="AB71" s="2">
        <v>14982.28</v>
      </c>
      <c r="AD71" s="1" t="s">
        <v>136</v>
      </c>
      <c r="AE71" s="1" t="s">
        <v>137</v>
      </c>
      <c r="AF71" s="2">
        <v>10411.89</v>
      </c>
      <c r="AH71" s="1" t="s">
        <v>142</v>
      </c>
      <c r="AI71" s="1" t="s">
        <v>143</v>
      </c>
      <c r="AJ71" s="2">
        <v>16338.07</v>
      </c>
      <c r="AL71" s="1" t="s">
        <v>150</v>
      </c>
      <c r="AM71" s="1" t="s">
        <v>151</v>
      </c>
      <c r="AN71" s="2">
        <v>1522.57</v>
      </c>
      <c r="AP71" s="1" t="s">
        <v>160</v>
      </c>
      <c r="AQ71" s="1" t="s">
        <v>161</v>
      </c>
      <c r="AR71" s="2">
        <v>16954.609999999997</v>
      </c>
      <c r="AS71" s="1" t="s">
        <v>161</v>
      </c>
      <c r="AT71" s="2">
        <v>84358.62</v>
      </c>
    </row>
    <row r="72" spans="1:46" ht="20.25" customHeight="1" x14ac:dyDescent="0.3">
      <c r="A72" s="42">
        <v>67</v>
      </c>
      <c r="B72" s="26" t="s">
        <v>124</v>
      </c>
      <c r="C72" s="26" t="s">
        <v>125</v>
      </c>
      <c r="D72" s="34" t="str">
        <f t="shared" si="24"/>
        <v>P-261/2018-ERAF pr."Degradēto teritoriju revitalizācija Cēsu novadā 3.kārta"īstenošanai</v>
      </c>
      <c r="E72" s="34" t="str">
        <f t="shared" si="25"/>
        <v>01.06.2018</v>
      </c>
      <c r="F72" s="27">
        <v>19434</v>
      </c>
      <c r="G72" s="36">
        <f t="shared" si="31"/>
        <v>21378.81</v>
      </c>
      <c r="H72" s="36">
        <f t="shared" si="32"/>
        <v>20742.38</v>
      </c>
      <c r="I72" s="36">
        <f t="shared" si="33"/>
        <v>20117.550000000003</v>
      </c>
      <c r="J72" s="36">
        <f t="shared" si="34"/>
        <v>19490.989999999998</v>
      </c>
      <c r="K72" s="36">
        <f t="shared" si="35"/>
        <v>18867.43</v>
      </c>
      <c r="L72" s="37">
        <f t="shared" si="12"/>
        <v>18258.012010999999</v>
      </c>
      <c r="M72" s="36">
        <f>VLOOKUP($C72,$AS:$AT,2,0)-18258</f>
        <v>8883.260000000002</v>
      </c>
      <c r="N72" s="38">
        <f t="shared" si="38"/>
        <v>147172.432011</v>
      </c>
      <c r="Q72" t="str">
        <f t="shared" si="36"/>
        <v>P-261/2018-ERAF pr."Degradēto teritoriju revitalizācija Cēsu novadā 3.kārta"īstenošanai</v>
      </c>
      <c r="R72" t="str">
        <f t="shared" si="37"/>
        <v>01.06.2018</v>
      </c>
      <c r="U72" s="9" t="s">
        <v>5</v>
      </c>
      <c r="V72" s="9" t="s">
        <v>399</v>
      </c>
      <c r="W72" s="9" t="s">
        <v>5</v>
      </c>
      <c r="X72" s="13" t="s">
        <v>401</v>
      </c>
      <c r="Z72" s="1" t="s">
        <v>132</v>
      </c>
      <c r="AA72" s="1" t="s">
        <v>133</v>
      </c>
      <c r="AB72" s="2">
        <v>95301.409999999989</v>
      </c>
      <c r="AD72" s="1" t="s">
        <v>138</v>
      </c>
      <c r="AE72" s="1" t="s">
        <v>139</v>
      </c>
      <c r="AF72" s="2">
        <v>5535.89</v>
      </c>
      <c r="AH72" s="1" t="s">
        <v>144</v>
      </c>
      <c r="AI72" s="1" t="s">
        <v>145</v>
      </c>
      <c r="AJ72" s="2">
        <v>4162.8900000000003</v>
      </c>
      <c r="AL72" s="1" t="s">
        <v>152</v>
      </c>
      <c r="AM72" s="1" t="s">
        <v>153</v>
      </c>
      <c r="AN72" s="2">
        <v>628.96</v>
      </c>
      <c r="AP72" s="1" t="s">
        <v>162</v>
      </c>
      <c r="AQ72" s="1" t="s">
        <v>163</v>
      </c>
      <c r="AR72" s="2">
        <v>79912.429999999993</v>
      </c>
      <c r="AS72" s="1" t="s">
        <v>163</v>
      </c>
      <c r="AT72" s="2">
        <v>845532.75</v>
      </c>
    </row>
    <row r="73" spans="1:46" ht="20.25" customHeight="1" x14ac:dyDescent="0.3">
      <c r="A73" s="42">
        <v>68</v>
      </c>
      <c r="B73" s="26" t="s">
        <v>126</v>
      </c>
      <c r="C73" s="26" t="s">
        <v>127</v>
      </c>
      <c r="D73" s="34" t="str">
        <f t="shared" si="24"/>
        <v>Grants ceļa "Mazaiskrogs -Irbēni"pārbūvei</v>
      </c>
      <c r="E73" s="34" t="str">
        <f t="shared" si="25"/>
        <v>21.06.2018</v>
      </c>
      <c r="F73" s="27">
        <v>20840</v>
      </c>
      <c r="G73" s="36">
        <f t="shared" si="31"/>
        <v>23470.98</v>
      </c>
      <c r="H73" s="36">
        <f t="shared" si="32"/>
        <v>22823.640000000003</v>
      </c>
      <c r="I73" s="36">
        <f t="shared" si="33"/>
        <v>22193.200000000001</v>
      </c>
      <c r="J73" s="36">
        <f t="shared" si="34"/>
        <v>21561.030000000002</v>
      </c>
      <c r="K73" s="36">
        <f t="shared" si="35"/>
        <v>20937.05</v>
      </c>
      <c r="L73" s="37">
        <f t="shared" si="12"/>
        <v>20260.783284999998</v>
      </c>
      <c r="M73" s="36">
        <f>VLOOKUP($C73,$AS:$AT,2,0)-20261</f>
        <v>66135.23</v>
      </c>
      <c r="N73" s="38">
        <f t="shared" si="38"/>
        <v>218221.91328499996</v>
      </c>
      <c r="Q73" t="str">
        <f t="shared" si="36"/>
        <v>Grants ceļa "Mazaiskrogs -Irbēni"pārbūvei</v>
      </c>
      <c r="R73" t="str">
        <f t="shared" si="37"/>
        <v>21.06.2018</v>
      </c>
      <c r="U73" s="9" t="s">
        <v>279</v>
      </c>
      <c r="V73" s="9" t="s">
        <v>402</v>
      </c>
      <c r="W73" s="9" t="s">
        <v>279</v>
      </c>
      <c r="X73" s="13" t="s">
        <v>403</v>
      </c>
      <c r="Z73" s="1" t="s">
        <v>134</v>
      </c>
      <c r="AA73" s="1" t="s">
        <v>135</v>
      </c>
      <c r="AB73" s="2">
        <v>3122.87</v>
      </c>
      <c r="AD73" s="1" t="s">
        <v>140</v>
      </c>
      <c r="AE73" s="1" t="s">
        <v>141</v>
      </c>
      <c r="AF73" s="2">
        <v>157877.25</v>
      </c>
      <c r="AH73" s="1" t="s">
        <v>146</v>
      </c>
      <c r="AI73" s="1" t="s">
        <v>147</v>
      </c>
      <c r="AJ73" s="2">
        <v>5252.0999999999995</v>
      </c>
      <c r="AL73" s="1" t="s">
        <v>154</v>
      </c>
      <c r="AM73" s="1" t="s">
        <v>155</v>
      </c>
      <c r="AN73" s="2">
        <v>40642.909999999996</v>
      </c>
      <c r="AP73" s="1" t="s">
        <v>164</v>
      </c>
      <c r="AQ73" s="1" t="s">
        <v>165</v>
      </c>
      <c r="AR73" s="2">
        <v>165507.29999999999</v>
      </c>
      <c r="AS73" s="1" t="s">
        <v>165</v>
      </c>
      <c r="AT73" s="2">
        <v>2454971.7000000002</v>
      </c>
    </row>
    <row r="74" spans="1:46" ht="20.25" customHeight="1" x14ac:dyDescent="0.3">
      <c r="A74" s="42">
        <v>69</v>
      </c>
      <c r="B74" s="26" t="s">
        <v>128</v>
      </c>
      <c r="C74" s="26" t="s">
        <v>129</v>
      </c>
      <c r="D74" s="34" t="str">
        <f t="shared" si="24"/>
        <v>Stalbes vidusskolas struktūrvienības Raiskuma pamatskolas ēkas energoefektivitātes palielināšana - ēkas fasādes un jumta atjaunošana</v>
      </c>
      <c r="E74" s="34" t="str">
        <f t="shared" si="25"/>
        <v>05.07.2018</v>
      </c>
      <c r="F74" s="27">
        <v>23383</v>
      </c>
      <c r="G74" s="36">
        <f t="shared" si="31"/>
        <v>26712.41</v>
      </c>
      <c r="H74" s="36">
        <f t="shared" si="32"/>
        <v>25975.69</v>
      </c>
      <c r="I74" s="36">
        <f t="shared" si="33"/>
        <v>25258.170000000002</v>
      </c>
      <c r="J74" s="36">
        <f t="shared" si="34"/>
        <v>24538.69</v>
      </c>
      <c r="K74" s="36">
        <f t="shared" si="35"/>
        <v>23828.539999999997</v>
      </c>
      <c r="L74" s="37">
        <f t="shared" si="12"/>
        <v>23058.878157999996</v>
      </c>
      <c r="M74" s="36">
        <f>VLOOKUP($C74,$AS:$AT,2,0)-23059</f>
        <v>75268.900000000009</v>
      </c>
      <c r="N74" s="38">
        <f t="shared" si="38"/>
        <v>248024.27815800003</v>
      </c>
      <c r="Q74" t="str">
        <f t="shared" si="36"/>
        <v>Stalbes vidusskolas struktūrvienības Raiskuma pamatskolas ēkas energoefektivitātes palielināšana - ēkas fasādes un jumta atjaunošana</v>
      </c>
      <c r="R74" t="str">
        <f t="shared" si="37"/>
        <v>05.07.2018</v>
      </c>
      <c r="U74" s="9" t="s">
        <v>87</v>
      </c>
      <c r="V74" s="9" t="s">
        <v>404</v>
      </c>
      <c r="W74" s="9" t="s">
        <v>87</v>
      </c>
      <c r="X74" s="13" t="s">
        <v>405</v>
      </c>
      <c r="Z74" s="1" t="s">
        <v>136</v>
      </c>
      <c r="AA74" s="1" t="s">
        <v>137</v>
      </c>
      <c r="AB74" s="2">
        <v>10703.88</v>
      </c>
      <c r="AD74" s="1" t="s">
        <v>142</v>
      </c>
      <c r="AE74" s="1" t="s">
        <v>143</v>
      </c>
      <c r="AF74" s="2">
        <v>16795.68</v>
      </c>
      <c r="AH74" s="1" t="s">
        <v>148</v>
      </c>
      <c r="AI74" s="1" t="s">
        <v>149</v>
      </c>
      <c r="AJ74" s="2">
        <v>21542.01</v>
      </c>
      <c r="AL74" s="1" t="s">
        <v>156</v>
      </c>
      <c r="AM74" s="1" t="s">
        <v>157</v>
      </c>
      <c r="AN74" s="2">
        <v>32784.660000000003</v>
      </c>
      <c r="AP74" s="1" t="s">
        <v>168</v>
      </c>
      <c r="AQ74" s="1" t="s">
        <v>169</v>
      </c>
      <c r="AR74" s="2">
        <v>1866.88</v>
      </c>
      <c r="AS74" s="1" t="s">
        <v>169</v>
      </c>
      <c r="AT74" s="2">
        <v>2238.46</v>
      </c>
    </row>
    <row r="75" spans="1:46" ht="20.25" customHeight="1" x14ac:dyDescent="0.3">
      <c r="A75" s="42">
        <v>70</v>
      </c>
      <c r="B75" s="26" t="s">
        <v>130</v>
      </c>
      <c r="C75" s="26" t="s">
        <v>131</v>
      </c>
      <c r="D75" s="34" t="str">
        <f t="shared" si="24"/>
        <v>Straupes ciema ūdenstorņa atjaunošana</v>
      </c>
      <c r="E75" s="34" t="str">
        <f t="shared" si="25"/>
        <v>05.07.2018</v>
      </c>
      <c r="F75" s="27">
        <v>13115</v>
      </c>
      <c r="G75" s="36">
        <f t="shared" si="31"/>
        <v>14982.28</v>
      </c>
      <c r="H75" s="36">
        <f t="shared" si="32"/>
        <v>14569.07</v>
      </c>
      <c r="I75" s="36">
        <f t="shared" si="33"/>
        <v>14166.63</v>
      </c>
      <c r="J75" s="36">
        <f t="shared" si="34"/>
        <v>13763.079999999998</v>
      </c>
      <c r="K75" s="36">
        <f t="shared" si="35"/>
        <v>13364.8</v>
      </c>
      <c r="L75" s="37">
        <f t="shared" si="12"/>
        <v>12933.116959999999</v>
      </c>
      <c r="M75" s="36">
        <f>VLOOKUP($C75,$AS:$AT,2,0)-12933</f>
        <v>42216.489999999991</v>
      </c>
      <c r="N75" s="38">
        <f t="shared" si="38"/>
        <v>139110.46695999999</v>
      </c>
      <c r="Q75" t="str">
        <f t="shared" si="36"/>
        <v>Straupes ciema ūdenstorņa atjaunošana</v>
      </c>
      <c r="R75" t="str">
        <f t="shared" si="37"/>
        <v>05.07.2018</v>
      </c>
      <c r="U75" s="9" t="s">
        <v>109</v>
      </c>
      <c r="V75" s="9" t="s">
        <v>406</v>
      </c>
      <c r="W75" s="9" t="s">
        <v>109</v>
      </c>
      <c r="X75" s="13" t="s">
        <v>407</v>
      </c>
      <c r="Z75" s="1" t="s">
        <v>138</v>
      </c>
      <c r="AA75" s="1" t="s">
        <v>139</v>
      </c>
      <c r="AB75" s="2">
        <v>5691.15</v>
      </c>
      <c r="AD75" s="1" t="s">
        <v>144</v>
      </c>
      <c r="AE75" s="1" t="s">
        <v>145</v>
      </c>
      <c r="AF75" s="2">
        <v>4298.5200000000004</v>
      </c>
      <c r="AH75" s="1" t="s">
        <v>150</v>
      </c>
      <c r="AI75" s="1" t="s">
        <v>151</v>
      </c>
      <c r="AJ75" s="2">
        <v>1573.1200000000001</v>
      </c>
      <c r="AL75" s="1" t="s">
        <v>158</v>
      </c>
      <c r="AM75" s="1" t="s">
        <v>159</v>
      </c>
      <c r="AN75" s="2">
        <v>30826.1</v>
      </c>
      <c r="AP75" s="1" t="s">
        <v>170</v>
      </c>
      <c r="AQ75" s="1" t="s">
        <v>171</v>
      </c>
      <c r="AR75" s="2">
        <v>35862.129999999997</v>
      </c>
      <c r="AS75" s="1" t="s">
        <v>171</v>
      </c>
      <c r="AT75" s="2">
        <v>44409.159999999996</v>
      </c>
    </row>
    <row r="76" spans="1:46" ht="20.25" customHeight="1" x14ac:dyDescent="0.3">
      <c r="A76" s="42">
        <v>71</v>
      </c>
      <c r="B76" s="26" t="s">
        <v>132</v>
      </c>
      <c r="C76" s="26" t="s">
        <v>133</v>
      </c>
      <c r="D76" s="34" t="str">
        <f t="shared" si="24"/>
        <v>P-397/2018-Aizs.infrastruktūras att.proj,"Daudzstāvu daudzdzīv. dzīv.ēkas-nep.jaunbūves A.Kronvalda ielā 56, Cēsīs pārbūve"īstenošanai</v>
      </c>
      <c r="E76" s="34" t="str">
        <f t="shared" si="25"/>
        <v>25.07.2018</v>
      </c>
      <c r="F76" s="27">
        <v>88304</v>
      </c>
      <c r="G76" s="36">
        <f t="shared" si="31"/>
        <v>95301.409999999989</v>
      </c>
      <c r="H76" s="36">
        <f t="shared" si="32"/>
        <v>92837.77</v>
      </c>
      <c r="I76" s="36">
        <f t="shared" si="33"/>
        <v>90483.96</v>
      </c>
      <c r="J76" s="36">
        <f t="shared" si="34"/>
        <v>88123.73000000001</v>
      </c>
      <c r="K76" s="36">
        <f t="shared" si="35"/>
        <v>85841.04</v>
      </c>
      <c r="L76" s="37">
        <f t="shared" si="12"/>
        <v>83068.374407999989</v>
      </c>
      <c r="M76" s="36">
        <f>VLOOKUP($C76,$AS:$AT,2,0)-83068</f>
        <v>748072.34</v>
      </c>
      <c r="N76" s="38">
        <f t="shared" si="38"/>
        <v>1372032.6244080001</v>
      </c>
      <c r="Q76" t="str">
        <f t="shared" si="36"/>
        <v>P-397/2018-Aizs.infrastruktūras att.proj,"Daudzstāvu daudzdzīv. dzīv.ēkas-nep.jaunbūves A.Kronvalda ielā 56, Cēsīs pārbūve"īstenošanai</v>
      </c>
      <c r="R76" t="str">
        <f t="shared" si="37"/>
        <v>25.07.2018</v>
      </c>
      <c r="U76" s="9" t="s">
        <v>123</v>
      </c>
      <c r="V76" s="9" t="s">
        <v>408</v>
      </c>
      <c r="W76" s="9" t="s">
        <v>123</v>
      </c>
      <c r="X76" s="13" t="s">
        <v>409</v>
      </c>
      <c r="Z76" s="1" t="s">
        <v>140</v>
      </c>
      <c r="AA76" s="1" t="s">
        <v>141</v>
      </c>
      <c r="AB76" s="2">
        <v>161028.27000000002</v>
      </c>
      <c r="AD76" s="1" t="s">
        <v>146</v>
      </c>
      <c r="AE76" s="1" t="s">
        <v>147</v>
      </c>
      <c r="AF76" s="2">
        <v>5423.22</v>
      </c>
      <c r="AH76" s="1" t="s">
        <v>152</v>
      </c>
      <c r="AI76" s="1" t="s">
        <v>153</v>
      </c>
      <c r="AJ76" s="2">
        <v>649.86</v>
      </c>
      <c r="AL76" s="1" t="s">
        <v>160</v>
      </c>
      <c r="AM76" s="1" t="s">
        <v>161</v>
      </c>
      <c r="AN76" s="2">
        <v>17443.669999999998</v>
      </c>
      <c r="AP76" s="1" t="s">
        <v>172</v>
      </c>
      <c r="AQ76" s="1" t="s">
        <v>173</v>
      </c>
      <c r="AR76" s="2">
        <v>722.85</v>
      </c>
      <c r="AS76" s="1" t="s">
        <v>173</v>
      </c>
      <c r="AT76" s="2">
        <v>1035.3200000000002</v>
      </c>
    </row>
    <row r="77" spans="1:46" ht="20.25" customHeight="1" x14ac:dyDescent="0.3">
      <c r="A77" s="42">
        <v>72</v>
      </c>
      <c r="B77" s="26" t="s">
        <v>134</v>
      </c>
      <c r="C77" s="26" t="s">
        <v>135</v>
      </c>
      <c r="D77" s="34" t="str">
        <f t="shared" si="24"/>
        <v>Skatu torņa būvniecība</v>
      </c>
      <c r="E77" s="34" t="str">
        <f t="shared" si="25"/>
        <v>03.10.2018</v>
      </c>
      <c r="F77" s="27">
        <v>2849</v>
      </c>
      <c r="G77" s="36">
        <f t="shared" si="31"/>
        <v>3122.87</v>
      </c>
      <c r="H77" s="36">
        <f t="shared" si="32"/>
        <v>3037.67</v>
      </c>
      <c r="I77" s="36">
        <f t="shared" si="33"/>
        <v>2954.36</v>
      </c>
      <c r="J77" s="36">
        <f t="shared" si="34"/>
        <v>2870.79</v>
      </c>
      <c r="K77" s="36">
        <f t="shared" si="35"/>
        <v>2788.36</v>
      </c>
      <c r="L77" s="37">
        <f t="shared" si="12"/>
        <v>2698.2959720000003</v>
      </c>
      <c r="M77" s="36">
        <f>VLOOKUP($C77,$AS:$AT,2,0)-2698</f>
        <v>9405.5499999999993</v>
      </c>
      <c r="N77" s="38">
        <f t="shared" si="38"/>
        <v>29726.895972000002</v>
      </c>
      <c r="Q77" t="str">
        <f t="shared" si="36"/>
        <v>Skatu torņa būvniecība</v>
      </c>
      <c r="R77" t="str">
        <f t="shared" si="37"/>
        <v>03.10.2018</v>
      </c>
      <c r="U77" s="9" t="s">
        <v>135</v>
      </c>
      <c r="V77" s="9" t="s">
        <v>410</v>
      </c>
      <c r="W77" s="9" t="s">
        <v>135</v>
      </c>
      <c r="X77" s="13" t="s">
        <v>411</v>
      </c>
      <c r="Z77" s="1" t="s">
        <v>142</v>
      </c>
      <c r="AA77" s="1" t="s">
        <v>143</v>
      </c>
      <c r="AB77" s="2">
        <v>17176.78</v>
      </c>
      <c r="AD77" s="1" t="s">
        <v>148</v>
      </c>
      <c r="AE77" s="1" t="s">
        <v>149</v>
      </c>
      <c r="AF77" s="2">
        <v>22243.87</v>
      </c>
      <c r="AH77" s="1" t="s">
        <v>154</v>
      </c>
      <c r="AI77" s="1" t="s">
        <v>155</v>
      </c>
      <c r="AJ77" s="2">
        <v>41800.670000000006</v>
      </c>
      <c r="AL77" s="1" t="s">
        <v>162</v>
      </c>
      <c r="AM77" s="1" t="s">
        <v>163</v>
      </c>
      <c r="AN77" s="2">
        <v>81777.62999999999</v>
      </c>
      <c r="AP77" s="1" t="s">
        <v>174</v>
      </c>
      <c r="AQ77" s="1" t="s">
        <v>175</v>
      </c>
      <c r="AR77" s="2">
        <v>356.76</v>
      </c>
      <c r="AS77" s="1" t="s">
        <v>175</v>
      </c>
      <c r="AT77" s="2">
        <v>594</v>
      </c>
    </row>
    <row r="78" spans="1:46" ht="20.25" customHeight="1" x14ac:dyDescent="0.3">
      <c r="A78" s="42">
        <v>73</v>
      </c>
      <c r="B78" s="26" t="s">
        <v>136</v>
      </c>
      <c r="C78" s="26" t="s">
        <v>137</v>
      </c>
      <c r="D78" s="34" t="str">
        <f t="shared" si="24"/>
        <v>Siltummezglu, siltumtrases un kanalizācijas tīklu izbūve</v>
      </c>
      <c r="E78" s="34" t="str">
        <f t="shared" si="25"/>
        <v>03.10.2018</v>
      </c>
      <c r="F78" s="27">
        <v>9764</v>
      </c>
      <c r="G78" s="36">
        <f t="shared" si="31"/>
        <v>10703.88</v>
      </c>
      <c r="H78" s="36">
        <f t="shared" si="32"/>
        <v>10411.89</v>
      </c>
      <c r="I78" s="36">
        <f t="shared" si="33"/>
        <v>10126.26</v>
      </c>
      <c r="J78" s="36">
        <f t="shared" si="34"/>
        <v>9839.84</v>
      </c>
      <c r="K78" s="36">
        <f t="shared" si="35"/>
        <v>9557.369999999999</v>
      </c>
      <c r="L78" s="37">
        <f t="shared" si="12"/>
        <v>9248.6669489999986</v>
      </c>
      <c r="M78" s="36">
        <f>VLOOKUP($C78,$AS:$AT,2,0)-9249</f>
        <v>32236.960000000006</v>
      </c>
      <c r="N78" s="38">
        <f t="shared" si="38"/>
        <v>101888.866949</v>
      </c>
      <c r="Q78" t="str">
        <f t="shared" si="36"/>
        <v>Siltummezglu, siltumtrases un kanalizācijas tīklu izbūve</v>
      </c>
      <c r="R78" t="str">
        <f t="shared" si="37"/>
        <v>03.10.2018</v>
      </c>
      <c r="U78" s="9" t="s">
        <v>137</v>
      </c>
      <c r="V78" s="9" t="s">
        <v>412</v>
      </c>
      <c r="W78" s="9" t="s">
        <v>137</v>
      </c>
      <c r="X78" s="13" t="s">
        <v>411</v>
      </c>
      <c r="Z78" s="1" t="s">
        <v>144</v>
      </c>
      <c r="AA78" s="1" t="s">
        <v>145</v>
      </c>
      <c r="AB78" s="2">
        <v>4422.5099999999993</v>
      </c>
      <c r="AD78" s="1" t="s">
        <v>150</v>
      </c>
      <c r="AE78" s="1" t="s">
        <v>151</v>
      </c>
      <c r="AF78" s="2">
        <v>1623.56</v>
      </c>
      <c r="AH78" s="1" t="s">
        <v>156</v>
      </c>
      <c r="AI78" s="1" t="s">
        <v>157</v>
      </c>
      <c r="AJ78" s="2">
        <v>33873.539999999994</v>
      </c>
      <c r="AL78" s="1" t="s">
        <v>164</v>
      </c>
      <c r="AM78" s="1" t="s">
        <v>165</v>
      </c>
      <c r="AN78" s="2">
        <v>170974.47</v>
      </c>
      <c r="AP78" s="1" t="s">
        <v>176</v>
      </c>
      <c r="AQ78" s="1" t="s">
        <v>177</v>
      </c>
      <c r="AR78" s="2">
        <v>1409.4</v>
      </c>
      <c r="AS78" s="1" t="s">
        <v>177</v>
      </c>
      <c r="AT78" s="2">
        <v>2346.73</v>
      </c>
    </row>
    <row r="79" spans="1:46" ht="20.25" customHeight="1" x14ac:dyDescent="0.3">
      <c r="A79" s="42">
        <v>74</v>
      </c>
      <c r="B79" s="26" t="s">
        <v>138</v>
      </c>
      <c r="C79" s="26" t="s">
        <v>139</v>
      </c>
      <c r="D79" s="34" t="str">
        <f t="shared" si="24"/>
        <v>Sporta un atpūtas laukuma izveidošana</v>
      </c>
      <c r="E79" s="34" t="str">
        <f t="shared" si="25"/>
        <v>04.10.2018</v>
      </c>
      <c r="F79" s="27">
        <v>5192</v>
      </c>
      <c r="G79" s="36">
        <f t="shared" si="31"/>
        <v>5691.15</v>
      </c>
      <c r="H79" s="36">
        <f t="shared" si="32"/>
        <v>5535.89</v>
      </c>
      <c r="I79" s="36">
        <f t="shared" si="33"/>
        <v>5384.05</v>
      </c>
      <c r="J79" s="36">
        <f t="shared" si="34"/>
        <v>5231.7699999999995</v>
      </c>
      <c r="K79" s="36">
        <f t="shared" si="35"/>
        <v>5081.5599999999995</v>
      </c>
      <c r="L79" s="37">
        <f t="shared" si="12"/>
        <v>4917.4256119999991</v>
      </c>
      <c r="M79" s="36">
        <f>VLOOKUP($C79,$AS:$AT,2,0)-4917</f>
        <v>17140.659999999996</v>
      </c>
      <c r="N79" s="38">
        <f t="shared" si="38"/>
        <v>54174.505611999994</v>
      </c>
      <c r="Q79" t="str">
        <f t="shared" si="36"/>
        <v>Sporta un atpūtas laukuma izveidošana</v>
      </c>
      <c r="R79" t="str">
        <f t="shared" si="37"/>
        <v>04.10.2018</v>
      </c>
      <c r="U79" s="9" t="s">
        <v>139</v>
      </c>
      <c r="V79" s="9" t="s">
        <v>413</v>
      </c>
      <c r="W79" s="9" t="s">
        <v>139</v>
      </c>
      <c r="X79" s="13" t="s">
        <v>414</v>
      </c>
      <c r="Z79" s="1" t="s">
        <v>146</v>
      </c>
      <c r="AA79" s="1" t="s">
        <v>147</v>
      </c>
      <c r="AB79" s="2">
        <v>5580.17</v>
      </c>
      <c r="AD79" s="1" t="s">
        <v>152</v>
      </c>
      <c r="AE79" s="1" t="s">
        <v>153</v>
      </c>
      <c r="AF79" s="2">
        <v>670.69999999999993</v>
      </c>
      <c r="AH79" s="1" t="s">
        <v>158</v>
      </c>
      <c r="AI79" s="1" t="s">
        <v>159</v>
      </c>
      <c r="AJ79" s="2">
        <v>31704.2</v>
      </c>
      <c r="AL79" s="1" t="s">
        <v>168</v>
      </c>
      <c r="AM79" s="1" t="s">
        <v>169</v>
      </c>
      <c r="AN79" s="2">
        <v>1936.6</v>
      </c>
      <c r="AP79" s="1" t="s">
        <v>178</v>
      </c>
      <c r="AQ79" s="1" t="s">
        <v>179</v>
      </c>
      <c r="AR79" s="2">
        <v>16769.169999999998</v>
      </c>
      <c r="AS79" s="1" t="s">
        <v>179</v>
      </c>
      <c r="AT79" s="2">
        <v>39058.420000000006</v>
      </c>
    </row>
    <row r="80" spans="1:46" ht="20.25" customHeight="1" x14ac:dyDescent="0.3">
      <c r="A80" s="42">
        <v>75</v>
      </c>
      <c r="B80" s="26" t="s">
        <v>140</v>
      </c>
      <c r="C80" s="26" t="s">
        <v>141</v>
      </c>
      <c r="D80" s="34" t="str">
        <f t="shared" si="24"/>
        <v>P-651/2018-Valsts nozīmes sporta infrastruktūras attīst.projekta "Cēsu pils.stadiona rekonstrukcija"īstenošanai</v>
      </c>
      <c r="E80" s="34" t="str">
        <f t="shared" si="25"/>
        <v>14.11.2018</v>
      </c>
      <c r="F80" s="27">
        <v>143955</v>
      </c>
      <c r="G80" s="36">
        <f t="shared" si="31"/>
        <v>161028.27000000002</v>
      </c>
      <c r="H80" s="36">
        <f t="shared" si="32"/>
        <v>157877.25</v>
      </c>
      <c r="I80" s="36">
        <f t="shared" si="33"/>
        <v>154265.92000000001</v>
      </c>
      <c r="J80" s="36">
        <f t="shared" si="34"/>
        <v>150644.71</v>
      </c>
      <c r="K80" s="36">
        <f t="shared" si="35"/>
        <v>147144.93000000002</v>
      </c>
      <c r="L80" s="37">
        <f t="shared" si="12"/>
        <v>142392.14876100002</v>
      </c>
      <c r="M80" s="36">
        <f>VLOOKUP($C80,$AS:$AT,2,0)-142392</f>
        <v>1339789.0400000003</v>
      </c>
      <c r="N80" s="38">
        <f t="shared" si="38"/>
        <v>2397097.2687610006</v>
      </c>
      <c r="Q80" t="str">
        <f t="shared" si="36"/>
        <v>P-651/2018-Valsts nozīmes sporta infrastruktūras attīst.projekta "Cēsu pils.stadiona rekonstrukcija"īstenošanai</v>
      </c>
      <c r="R80" t="str">
        <f t="shared" si="37"/>
        <v>14.11.2018</v>
      </c>
      <c r="U80" s="9" t="s">
        <v>181</v>
      </c>
      <c r="V80" s="9" t="s">
        <v>415</v>
      </c>
      <c r="W80" s="9" t="s">
        <v>181</v>
      </c>
      <c r="X80" s="13" t="s">
        <v>416</v>
      </c>
      <c r="Z80" s="1" t="s">
        <v>148</v>
      </c>
      <c r="AA80" s="1" t="s">
        <v>149</v>
      </c>
      <c r="AB80" s="2">
        <v>22881.86</v>
      </c>
      <c r="AD80" s="1" t="s">
        <v>154</v>
      </c>
      <c r="AE80" s="1" t="s">
        <v>155</v>
      </c>
      <c r="AF80" s="2">
        <v>42955.25</v>
      </c>
      <c r="AH80" s="1" t="s">
        <v>160</v>
      </c>
      <c r="AI80" s="1" t="s">
        <v>161</v>
      </c>
      <c r="AJ80" s="2">
        <v>17940.55</v>
      </c>
      <c r="AL80" s="1" t="s">
        <v>170</v>
      </c>
      <c r="AM80" s="1" t="s">
        <v>171</v>
      </c>
      <c r="AN80" s="2">
        <v>36168.86</v>
      </c>
      <c r="AP80" s="1" t="s">
        <v>180</v>
      </c>
      <c r="AQ80" s="1" t="s">
        <v>181</v>
      </c>
      <c r="AR80" s="2">
        <v>20735.580000000002</v>
      </c>
      <c r="AS80" s="1" t="s">
        <v>181</v>
      </c>
      <c r="AT80" s="2">
        <v>37490.769999999997</v>
      </c>
    </row>
    <row r="81" spans="1:46" ht="20.25" customHeight="1" x14ac:dyDescent="0.3">
      <c r="A81" s="42">
        <v>76</v>
      </c>
      <c r="B81" s="26" t="s">
        <v>142</v>
      </c>
      <c r="C81" s="26" t="s">
        <v>143</v>
      </c>
      <c r="D81" s="28" t="s">
        <v>429</v>
      </c>
      <c r="E81" s="29" t="s">
        <v>430</v>
      </c>
      <c r="F81" s="27">
        <v>15934</v>
      </c>
      <c r="G81" s="36">
        <f t="shared" si="31"/>
        <v>17176.78</v>
      </c>
      <c r="H81" s="36">
        <f t="shared" si="32"/>
        <v>16795.68</v>
      </c>
      <c r="I81" s="36">
        <f t="shared" si="33"/>
        <v>16338.07</v>
      </c>
      <c r="J81" s="36">
        <f t="shared" si="34"/>
        <v>15879.18</v>
      </c>
      <c r="K81" s="36">
        <f t="shared" si="35"/>
        <v>15426.91</v>
      </c>
      <c r="L81" s="37">
        <f t="shared" si="12"/>
        <v>14928.620806999999</v>
      </c>
      <c r="M81" s="36">
        <f>VLOOKUP($C81,$AS:$AT,2,0)-14929</f>
        <v>55310.719999999987</v>
      </c>
      <c r="N81" s="38">
        <f t="shared" si="38"/>
        <v>167789.960807</v>
      </c>
      <c r="Q81" t="e">
        <f t="shared" si="36"/>
        <v>#N/A</v>
      </c>
      <c r="R81" t="e">
        <f t="shared" si="37"/>
        <v>#N/A</v>
      </c>
      <c r="U81" s="9" t="s">
        <v>241</v>
      </c>
      <c r="V81" s="18" t="s">
        <v>417</v>
      </c>
      <c r="W81" s="9" t="s">
        <v>241</v>
      </c>
      <c r="X81" s="13" t="s">
        <v>418</v>
      </c>
      <c r="Z81" s="1" t="s">
        <v>150</v>
      </c>
      <c r="AA81" s="1" t="s">
        <v>151</v>
      </c>
      <c r="AB81" s="2">
        <v>1674.77</v>
      </c>
      <c r="AD81" s="1" t="s">
        <v>156</v>
      </c>
      <c r="AE81" s="1" t="s">
        <v>157</v>
      </c>
      <c r="AF81" s="2">
        <v>34959.46</v>
      </c>
      <c r="AH81" s="1" t="s">
        <v>162</v>
      </c>
      <c r="AI81" s="1" t="s">
        <v>163</v>
      </c>
      <c r="AJ81" s="2">
        <v>83711.350000000006</v>
      </c>
      <c r="AL81" s="1" t="s">
        <v>172</v>
      </c>
      <c r="AM81" s="1" t="s">
        <v>173</v>
      </c>
      <c r="AN81" s="2">
        <v>749.5</v>
      </c>
      <c r="AP81" s="1" t="s">
        <v>182</v>
      </c>
      <c r="AQ81" s="1" t="s">
        <v>183</v>
      </c>
      <c r="AR81" s="2">
        <v>41596.18</v>
      </c>
      <c r="AS81" s="1" t="s">
        <v>183</v>
      </c>
      <c r="AT81" s="2">
        <v>405397.9</v>
      </c>
    </row>
    <row r="82" spans="1:46" ht="20.25" customHeight="1" x14ac:dyDescent="0.3">
      <c r="A82" s="42">
        <v>77</v>
      </c>
      <c r="B82" s="26" t="s">
        <v>144</v>
      </c>
      <c r="C82" s="26" t="s">
        <v>145</v>
      </c>
      <c r="D82" s="28" t="s">
        <v>436</v>
      </c>
      <c r="E82" s="29" t="s">
        <v>437</v>
      </c>
      <c r="F82" s="27">
        <v>4281</v>
      </c>
      <c r="G82" s="36">
        <f t="shared" si="31"/>
        <v>4422.5099999999993</v>
      </c>
      <c r="H82" s="36">
        <f t="shared" si="32"/>
        <v>4298.5200000000004</v>
      </c>
      <c r="I82" s="36">
        <f t="shared" si="33"/>
        <v>4162.8900000000003</v>
      </c>
      <c r="J82" s="36">
        <f t="shared" si="34"/>
        <v>4026.8799999999997</v>
      </c>
      <c r="K82" s="36">
        <f t="shared" si="35"/>
        <v>3890.94</v>
      </c>
      <c r="L82" s="37">
        <v>5</v>
      </c>
      <c r="M82" s="36">
        <v>0</v>
      </c>
      <c r="N82" s="38">
        <f t="shared" si="38"/>
        <v>25087.739999999998</v>
      </c>
      <c r="Q82" t="e">
        <f t="shared" si="36"/>
        <v>#N/A</v>
      </c>
      <c r="R82" t="e">
        <f t="shared" si="37"/>
        <v>#N/A</v>
      </c>
      <c r="U82" s="9" t="s">
        <v>33</v>
      </c>
      <c r="V82" s="9" t="s">
        <v>419</v>
      </c>
      <c r="W82" s="9" t="s">
        <v>33</v>
      </c>
      <c r="X82" s="13" t="s">
        <v>420</v>
      </c>
      <c r="Z82" s="1" t="s">
        <v>152</v>
      </c>
      <c r="AA82" s="1" t="s">
        <v>153</v>
      </c>
      <c r="AB82" s="2">
        <v>691.85</v>
      </c>
      <c r="AD82" s="1" t="s">
        <v>158</v>
      </c>
      <c r="AE82" s="1" t="s">
        <v>159</v>
      </c>
      <c r="AF82" s="2">
        <v>32579.919999999998</v>
      </c>
      <c r="AH82" s="1" t="s">
        <v>164</v>
      </c>
      <c r="AI82" s="1" t="s">
        <v>165</v>
      </c>
      <c r="AJ82" s="2">
        <v>174930.12</v>
      </c>
      <c r="AL82" s="1" t="s">
        <v>174</v>
      </c>
      <c r="AM82" s="1" t="s">
        <v>175</v>
      </c>
      <c r="AN82" s="2">
        <v>369.28</v>
      </c>
      <c r="AP82" s="1" t="s">
        <v>184</v>
      </c>
      <c r="AQ82" s="1" t="s">
        <v>185</v>
      </c>
      <c r="AR82" s="2">
        <v>7045.02</v>
      </c>
      <c r="AS82" s="1" t="s">
        <v>185</v>
      </c>
      <c r="AT82" s="2">
        <v>41914.92</v>
      </c>
    </row>
    <row r="83" spans="1:46" ht="20.25" customHeight="1" x14ac:dyDescent="0.3">
      <c r="A83" s="42">
        <v>78</v>
      </c>
      <c r="B83" s="26" t="s">
        <v>146</v>
      </c>
      <c r="C83" s="26" t="s">
        <v>147</v>
      </c>
      <c r="D83" s="34" t="str">
        <f t="shared" ref="D83:D89" si="39">VLOOKUP($C83,$U:$X,2,0)</f>
        <v>ELFLA projekta "Pašvaldības ceļu B77 "Saulgoži-Brežģis" un B71 "Soseja-Laidzi" pārbūve īstenošanai</v>
      </c>
      <c r="E83" s="34" t="str">
        <f t="shared" ref="E83:E89" si="40">VLOOKUP($C83,$W:$X,2,0)</f>
        <v>27.11.2018</v>
      </c>
      <c r="F83" s="27">
        <v>5410</v>
      </c>
      <c r="G83" s="36">
        <f t="shared" si="31"/>
        <v>5580.17</v>
      </c>
      <c r="H83" s="36">
        <f t="shared" si="32"/>
        <v>5423.22</v>
      </c>
      <c r="I83" s="36">
        <f t="shared" si="33"/>
        <v>5252.0999999999995</v>
      </c>
      <c r="J83" s="36">
        <f t="shared" si="34"/>
        <v>5080.51</v>
      </c>
      <c r="K83" s="36">
        <f t="shared" si="35"/>
        <v>4909.05</v>
      </c>
      <c r="L83" s="37">
        <v>6</v>
      </c>
      <c r="M83" s="36">
        <v>0</v>
      </c>
      <c r="N83" s="38">
        <f t="shared" si="38"/>
        <v>31661.05</v>
      </c>
      <c r="Q83" t="str">
        <f t="shared" si="36"/>
        <v>ELFLA projekta "Pašvaldības ceļu B77 "Saulgoži-Brežģis" un B71 "Soseja-Laidzi" pārbūve īstenošanai</v>
      </c>
      <c r="R83" t="str">
        <f t="shared" si="37"/>
        <v>27.11.2018</v>
      </c>
      <c r="U83" s="11" t="str">
        <f>RIGHT(X83,9)</f>
        <v>9.05.2009</v>
      </c>
      <c r="V83" s="9" t="s">
        <v>421</v>
      </c>
      <c r="W83" s="11" t="str">
        <f>RIGHT(Z83,9)</f>
        <v>/1/19/208</v>
      </c>
      <c r="X83" s="13" t="s">
        <v>422</v>
      </c>
      <c r="Z83" s="1" t="s">
        <v>154</v>
      </c>
      <c r="AA83" s="1" t="s">
        <v>155</v>
      </c>
      <c r="AB83" s="2">
        <v>44143.899999999994</v>
      </c>
      <c r="AD83" s="1" t="s">
        <v>160</v>
      </c>
      <c r="AE83" s="1" t="s">
        <v>161</v>
      </c>
      <c r="AF83" s="2">
        <v>18436.099999999999</v>
      </c>
      <c r="AH83" s="1" t="s">
        <v>168</v>
      </c>
      <c r="AI83" s="1" t="s">
        <v>169</v>
      </c>
      <c r="AJ83" s="2">
        <v>2006.6100000000001</v>
      </c>
      <c r="AL83" s="1" t="s">
        <v>176</v>
      </c>
      <c r="AM83" s="1" t="s">
        <v>177</v>
      </c>
      <c r="AN83" s="2">
        <v>1458.93</v>
      </c>
      <c r="AP83" s="1" t="s">
        <v>186</v>
      </c>
      <c r="AQ83" s="1" t="s">
        <v>187</v>
      </c>
      <c r="AR83" s="2">
        <v>8322.01</v>
      </c>
      <c r="AS83" s="1" t="s">
        <v>187</v>
      </c>
      <c r="AT83" s="2">
        <v>28743.4</v>
      </c>
    </row>
    <row r="84" spans="1:46" ht="20.25" customHeight="1" x14ac:dyDescent="0.3">
      <c r="A84" s="42">
        <v>79</v>
      </c>
      <c r="B84" s="26" t="s">
        <v>148</v>
      </c>
      <c r="C84" s="26" t="s">
        <v>149</v>
      </c>
      <c r="D84" s="34" t="str">
        <f t="shared" si="39"/>
        <v>ERAF projekta "Uzņēmējdarbības attīstībai nepieciešamās publiskās infrastrultūras attīstība Vecpiebalgas novada Inešu pagastā" īstenošanai</v>
      </c>
      <c r="E84" s="34" t="str">
        <f t="shared" si="40"/>
        <v>29.11.2018</v>
      </c>
      <c r="F84" s="27">
        <v>22175</v>
      </c>
      <c r="G84" s="36">
        <f t="shared" si="31"/>
        <v>22881.86</v>
      </c>
      <c r="H84" s="36">
        <f t="shared" si="32"/>
        <v>22243.87</v>
      </c>
      <c r="I84" s="36">
        <f t="shared" si="33"/>
        <v>21542.01</v>
      </c>
      <c r="J84" s="36">
        <f t="shared" si="34"/>
        <v>20838.25</v>
      </c>
      <c r="K84" s="36">
        <f t="shared" si="35"/>
        <v>20134.920000000002</v>
      </c>
      <c r="L84" s="37">
        <v>24</v>
      </c>
      <c r="M84" s="36">
        <v>0</v>
      </c>
      <c r="N84" s="38">
        <f t="shared" si="38"/>
        <v>129839.90999999999</v>
      </c>
      <c r="Q84" t="str">
        <f t="shared" si="36"/>
        <v>ERAF projekta "Uzņēmējdarbības attīstībai nepieciešamās publiskās infrastrultūras attīstība Vecpiebalgas novada Inešu pagastā" īstenošanai</v>
      </c>
      <c r="R84" t="str">
        <f t="shared" si="37"/>
        <v>29.11.2018</v>
      </c>
      <c r="U84" s="11" t="str">
        <f>RIGHT(X84,10)</f>
        <v>26.08.2010</v>
      </c>
      <c r="V84" s="9" t="s">
        <v>423</v>
      </c>
      <c r="W84" s="11" t="str">
        <f>RIGHT(Z84,10)</f>
        <v>2/1/19/207</v>
      </c>
      <c r="X84" s="13" t="s">
        <v>424</v>
      </c>
      <c r="Z84" s="1" t="s">
        <v>156</v>
      </c>
      <c r="AA84" s="1" t="s">
        <v>157</v>
      </c>
      <c r="AB84" s="2">
        <v>36062.51</v>
      </c>
      <c r="AD84" s="1" t="s">
        <v>162</v>
      </c>
      <c r="AE84" s="1" t="s">
        <v>163</v>
      </c>
      <c r="AF84" s="2">
        <v>85639.79</v>
      </c>
      <c r="AH84" s="1" t="s">
        <v>170</v>
      </c>
      <c r="AI84" s="1" t="s">
        <v>171</v>
      </c>
      <c r="AJ84" s="2">
        <v>36476.83</v>
      </c>
      <c r="AL84" s="1" t="s">
        <v>178</v>
      </c>
      <c r="AM84" s="1" t="s">
        <v>179</v>
      </c>
      <c r="AN84" s="2">
        <v>17341.22</v>
      </c>
      <c r="AP84" s="1" t="s">
        <v>192</v>
      </c>
      <c r="AQ84" s="1" t="s">
        <v>193</v>
      </c>
      <c r="AR84" s="2">
        <v>9799.14</v>
      </c>
      <c r="AS84" s="1" t="s">
        <v>193</v>
      </c>
      <c r="AT84" s="2">
        <v>34629.279999999999</v>
      </c>
    </row>
    <row r="85" spans="1:46" ht="20.25" customHeight="1" x14ac:dyDescent="0.3">
      <c r="A85" s="42">
        <v>80</v>
      </c>
      <c r="B85" s="26" t="s">
        <v>150</v>
      </c>
      <c r="C85" s="26" t="s">
        <v>151</v>
      </c>
      <c r="D85" s="34" t="str">
        <f t="shared" si="39"/>
        <v>ELFLA projekta "Pašvaldības ceļa B26 Jaunkabulēni-Celmi-Tožiņi pārbūve" īstenošanai</v>
      </c>
      <c r="E85" s="34" t="str">
        <f t="shared" si="40"/>
        <v>17.05.2019</v>
      </c>
      <c r="F85" s="27">
        <v>1541</v>
      </c>
      <c r="G85" s="36">
        <f t="shared" si="31"/>
        <v>1674.77</v>
      </c>
      <c r="H85" s="36">
        <f t="shared" si="32"/>
        <v>1623.56</v>
      </c>
      <c r="I85" s="36">
        <f t="shared" si="33"/>
        <v>1573.1200000000001</v>
      </c>
      <c r="J85" s="36">
        <f t="shared" si="34"/>
        <v>1522.57</v>
      </c>
      <c r="K85" s="36">
        <f t="shared" si="35"/>
        <v>1472.11</v>
      </c>
      <c r="L85" s="37">
        <v>718</v>
      </c>
      <c r="M85" s="36">
        <v>0</v>
      </c>
      <c r="N85" s="38">
        <f t="shared" si="38"/>
        <v>10125.129999999999</v>
      </c>
      <c r="Q85" t="str">
        <f t="shared" si="36"/>
        <v>ELFLA projekta "Pašvaldības ceļa B26 Jaunkabulēni-Celmi-Tožiņi pārbūve" īstenošanai</v>
      </c>
      <c r="R85" t="str">
        <f t="shared" si="37"/>
        <v>17.05.2019</v>
      </c>
      <c r="U85" s="11" t="str">
        <f>RIGHT(X85,10)</f>
        <v>12.07.2010</v>
      </c>
      <c r="V85" s="9" t="s">
        <v>425</v>
      </c>
      <c r="W85" s="11" t="str">
        <f>RIGHT(Z85,10)</f>
        <v>2/1/19/219</v>
      </c>
      <c r="X85" s="13" t="s">
        <v>426</v>
      </c>
      <c r="Z85" s="1" t="s">
        <v>158</v>
      </c>
      <c r="AA85" s="1" t="s">
        <v>159</v>
      </c>
      <c r="AB85" s="2">
        <v>33481.460000000006</v>
      </c>
      <c r="AD85" s="1" t="s">
        <v>164</v>
      </c>
      <c r="AE85" s="1" t="s">
        <v>165</v>
      </c>
      <c r="AF85" s="2">
        <v>177154.93</v>
      </c>
      <c r="AH85" s="1" t="s">
        <v>172</v>
      </c>
      <c r="AI85" s="1" t="s">
        <v>173</v>
      </c>
      <c r="AJ85" s="2">
        <v>776.27</v>
      </c>
      <c r="AL85" s="1" t="s">
        <v>180</v>
      </c>
      <c r="AM85" s="1" t="s">
        <v>181</v>
      </c>
      <c r="AN85" s="2">
        <v>21466.17</v>
      </c>
      <c r="AP85" s="1" t="s">
        <v>194</v>
      </c>
      <c r="AQ85" s="1" t="s">
        <v>195</v>
      </c>
      <c r="AR85" s="2">
        <v>56386.2</v>
      </c>
      <c r="AS85" s="1" t="s">
        <v>195</v>
      </c>
      <c r="AT85" s="2">
        <v>221484.13999999996</v>
      </c>
    </row>
    <row r="86" spans="1:46" ht="20.25" customHeight="1" x14ac:dyDescent="0.3">
      <c r="A86" s="42">
        <v>81</v>
      </c>
      <c r="B86" s="26" t="s">
        <v>152</v>
      </c>
      <c r="C86" s="26" t="s">
        <v>153</v>
      </c>
      <c r="D86" s="34" t="str">
        <f t="shared" si="39"/>
        <v>ELFLA projekta "Peldvietas labiekārtošana pie Dabaru ezera" īstenošanai</v>
      </c>
      <c r="E86" s="34" t="str">
        <f t="shared" si="40"/>
        <v>03.06.2019</v>
      </c>
      <c r="F86" s="27">
        <v>639</v>
      </c>
      <c r="G86" s="36">
        <f t="shared" si="31"/>
        <v>691.85</v>
      </c>
      <c r="H86" s="36">
        <f t="shared" si="32"/>
        <v>670.69999999999993</v>
      </c>
      <c r="I86" s="36">
        <f t="shared" si="33"/>
        <v>649.86</v>
      </c>
      <c r="J86" s="36">
        <f t="shared" si="34"/>
        <v>628.96</v>
      </c>
      <c r="K86" s="36">
        <f t="shared" si="35"/>
        <v>608.12</v>
      </c>
      <c r="L86" s="37">
        <v>297</v>
      </c>
      <c r="M86" s="36">
        <v>0</v>
      </c>
      <c r="N86" s="38">
        <f t="shared" si="38"/>
        <v>4185.49</v>
      </c>
      <c r="Q86" t="str">
        <f t="shared" si="36"/>
        <v>ELFLA projekta "Peldvietas labiekārtošana pie Dabaru ezera" īstenošanai</v>
      </c>
      <c r="R86" t="str">
        <f t="shared" si="37"/>
        <v>03.06.2019</v>
      </c>
      <c r="U86" s="11" t="str">
        <f>RIGHT(X86,11)</f>
        <v>11.08.2011</v>
      </c>
      <c r="V86" s="9" t="s">
        <v>427</v>
      </c>
      <c r="W86" s="11" t="str">
        <f>RIGHT(Z86,11)</f>
        <v>A2/1/19/250</v>
      </c>
      <c r="X86" s="13" t="s">
        <v>428</v>
      </c>
      <c r="Z86" s="1" t="s">
        <v>160</v>
      </c>
      <c r="AA86" s="1" t="s">
        <v>161</v>
      </c>
      <c r="AB86" s="2">
        <v>18946.259999999998</v>
      </c>
      <c r="AD86" s="1" t="s">
        <v>168</v>
      </c>
      <c r="AE86" s="1" t="s">
        <v>169</v>
      </c>
      <c r="AF86" s="2">
        <v>2076.4299999999998</v>
      </c>
      <c r="AH86" s="1" t="s">
        <v>174</v>
      </c>
      <c r="AI86" s="1" t="s">
        <v>175</v>
      </c>
      <c r="AJ86" s="2">
        <v>381.89</v>
      </c>
      <c r="AL86" s="1" t="s">
        <v>182</v>
      </c>
      <c r="AM86" s="1" t="s">
        <v>183</v>
      </c>
      <c r="AN86" s="2">
        <v>42668.54</v>
      </c>
      <c r="AP86" s="1" t="s">
        <v>198</v>
      </c>
      <c r="AQ86" s="1" t="s">
        <v>199</v>
      </c>
      <c r="AR86" s="2">
        <v>45115.68</v>
      </c>
      <c r="AS86" s="1" t="s">
        <v>199</v>
      </c>
      <c r="AT86" s="2">
        <v>10718.190000000002</v>
      </c>
    </row>
    <row r="87" spans="1:46" ht="20.25" customHeight="1" x14ac:dyDescent="0.3">
      <c r="A87" s="42">
        <v>82</v>
      </c>
      <c r="B87" s="26" t="s">
        <v>154</v>
      </c>
      <c r="C87" s="26" t="s">
        <v>155</v>
      </c>
      <c r="D87" s="34" t="str">
        <f t="shared" si="39"/>
        <v>P-125/2019 ERAF Energoefektivitātes paaugstināšana ANP ēkā - Drabešu sākumskolā (Drabešu Jaunajā pamatskolā)</v>
      </c>
      <c r="E87" s="34" t="str">
        <f t="shared" si="40"/>
        <v>05.06.2019</v>
      </c>
      <c r="F87" s="27">
        <v>38112</v>
      </c>
      <c r="G87" s="36">
        <f t="shared" si="31"/>
        <v>44143.899999999994</v>
      </c>
      <c r="H87" s="36">
        <f t="shared" si="32"/>
        <v>42955.25</v>
      </c>
      <c r="I87" s="36">
        <f t="shared" si="33"/>
        <v>41800.670000000006</v>
      </c>
      <c r="J87" s="36">
        <f t="shared" si="34"/>
        <v>40642.909999999996</v>
      </c>
      <c r="K87" s="36">
        <f t="shared" si="35"/>
        <v>39503.380000000005</v>
      </c>
      <c r="L87" s="37">
        <f t="shared" ref="L87:L140" si="41">K87*0.9677</f>
        <v>38227.420826000001</v>
      </c>
      <c r="M87" s="36">
        <f>VLOOKUP($C87,$AS:$AT,2,0)-38227</f>
        <v>158301.44</v>
      </c>
      <c r="N87" s="38">
        <f t="shared" si="38"/>
        <v>443686.97082600003</v>
      </c>
      <c r="Q87" t="str">
        <f t="shared" si="36"/>
        <v>P-125/2019 ERAF Energoefektivitātes paaugstināšana ANP ēkā - Drabešu sākumskolā (Drabešu Jaunajā pamatskolā)</v>
      </c>
      <c r="R87" t="str">
        <f t="shared" si="37"/>
        <v>05.06.2019</v>
      </c>
      <c r="U87" s="11" t="str">
        <f t="shared" ref="U87:W92" si="42">RIGHT(X87,11)</f>
        <v>26.11.2018</v>
      </c>
      <c r="V87" s="9" t="s">
        <v>429</v>
      </c>
      <c r="W87" s="11" t="str">
        <f t="shared" si="42"/>
        <v>A2/1/19/305</v>
      </c>
      <c r="X87" s="13" t="s">
        <v>430</v>
      </c>
      <c r="Z87" s="1" t="s">
        <v>162</v>
      </c>
      <c r="AA87" s="1" t="s">
        <v>163</v>
      </c>
      <c r="AB87" s="2">
        <v>87663.200000000012</v>
      </c>
      <c r="AD87" s="1" t="s">
        <v>170</v>
      </c>
      <c r="AE87" s="1" t="s">
        <v>171</v>
      </c>
      <c r="AF87" s="2">
        <v>36783.97</v>
      </c>
      <c r="AH87" s="1" t="s">
        <v>176</v>
      </c>
      <c r="AI87" s="1" t="s">
        <v>177</v>
      </c>
      <c r="AJ87" s="2">
        <v>1508.71</v>
      </c>
      <c r="AL87" s="1" t="s">
        <v>184</v>
      </c>
      <c r="AM87" s="1" t="s">
        <v>185</v>
      </c>
      <c r="AN87" s="2">
        <v>7256.04</v>
      </c>
      <c r="AP87" s="1" t="s">
        <v>200</v>
      </c>
      <c r="AQ87" s="1" t="s">
        <v>201</v>
      </c>
      <c r="AR87" s="2">
        <v>33910</v>
      </c>
      <c r="AS87" s="1" t="s">
        <v>201</v>
      </c>
      <c r="AT87" s="2">
        <v>63651.75</v>
      </c>
    </row>
    <row r="88" spans="1:46" ht="20.25" customHeight="1" x14ac:dyDescent="0.3">
      <c r="A88" s="42">
        <v>83</v>
      </c>
      <c r="B88" s="26" t="s">
        <v>156</v>
      </c>
      <c r="C88" s="26" t="s">
        <v>157</v>
      </c>
      <c r="D88" s="34" t="str">
        <f t="shared" si="39"/>
        <v>P-126/2019 ERAF Kultūra, vēsture, arhitektūra Gaujas un laika lokos</v>
      </c>
      <c r="E88" s="34" t="str">
        <f t="shared" si="40"/>
        <v>05.06.2019</v>
      </c>
      <c r="F88" s="27">
        <v>33318</v>
      </c>
      <c r="G88" s="36">
        <f t="shared" si="31"/>
        <v>36062.51</v>
      </c>
      <c r="H88" s="36">
        <f t="shared" si="32"/>
        <v>34959.46</v>
      </c>
      <c r="I88" s="36">
        <f t="shared" si="33"/>
        <v>33873.539999999994</v>
      </c>
      <c r="J88" s="36">
        <f t="shared" si="34"/>
        <v>32784.660000000003</v>
      </c>
      <c r="K88" s="36">
        <f t="shared" si="35"/>
        <v>31698.010000000002</v>
      </c>
      <c r="L88" s="37">
        <v>15475</v>
      </c>
      <c r="M88" s="36">
        <v>0</v>
      </c>
      <c r="N88" s="38">
        <f t="shared" si="38"/>
        <v>218171.18000000002</v>
      </c>
      <c r="Q88" t="str">
        <f t="shared" si="36"/>
        <v>P-126/2019 ERAF Kultūra, vēsture, arhitektūra Gaujas un laika lokos</v>
      </c>
      <c r="R88" t="str">
        <f t="shared" si="37"/>
        <v>05.06.2019</v>
      </c>
      <c r="U88" s="11" t="str">
        <f t="shared" si="42"/>
        <v>20.05.2015</v>
      </c>
      <c r="V88" s="9" t="s">
        <v>431</v>
      </c>
      <c r="W88" s="11" t="str">
        <f t="shared" si="42"/>
        <v>A2/1/20/66</v>
      </c>
      <c r="X88" s="13" t="s">
        <v>432</v>
      </c>
      <c r="Z88" s="1" t="s">
        <v>164</v>
      </c>
      <c r="AA88" s="1" t="s">
        <v>165</v>
      </c>
      <c r="AB88" s="2">
        <v>185657.38</v>
      </c>
      <c r="AD88" s="1" t="s">
        <v>172</v>
      </c>
      <c r="AE88" s="1" t="s">
        <v>173</v>
      </c>
      <c r="AF88" s="2">
        <v>802.96</v>
      </c>
      <c r="AH88" s="1" t="s">
        <v>178</v>
      </c>
      <c r="AI88" s="1" t="s">
        <v>179</v>
      </c>
      <c r="AJ88" s="2">
        <v>17917.59</v>
      </c>
      <c r="AL88" s="1" t="s">
        <v>186</v>
      </c>
      <c r="AM88" s="1" t="s">
        <v>187</v>
      </c>
      <c r="AN88" s="2">
        <v>8593.92</v>
      </c>
      <c r="AP88" s="1" t="s">
        <v>202</v>
      </c>
      <c r="AQ88" s="1" t="s">
        <v>203</v>
      </c>
      <c r="AR88" s="2">
        <v>79965.710000000006</v>
      </c>
      <c r="AS88" s="1" t="s">
        <v>203</v>
      </c>
      <c r="AT88" s="2">
        <v>438683.86</v>
      </c>
    </row>
    <row r="89" spans="1:46" ht="20.25" customHeight="1" x14ac:dyDescent="0.3">
      <c r="A89" s="42">
        <v>84</v>
      </c>
      <c r="B89" s="26" t="s">
        <v>158</v>
      </c>
      <c r="C89" s="26" t="s">
        <v>159</v>
      </c>
      <c r="D89" s="34" t="str">
        <f t="shared" si="39"/>
        <v>ERAF projekta "Kultūra, vēsture, arhitektūra Gaujas un laika lokos" īstenošana</v>
      </c>
      <c r="E89" s="34" t="str">
        <f t="shared" si="40"/>
        <v>10.06.2019</v>
      </c>
      <c r="F89" s="27">
        <v>28663</v>
      </c>
      <c r="G89" s="36">
        <f t="shared" si="31"/>
        <v>33481.460000000006</v>
      </c>
      <c r="H89" s="36">
        <f t="shared" si="32"/>
        <v>32579.919999999998</v>
      </c>
      <c r="I89" s="36">
        <f t="shared" si="33"/>
        <v>31704.2</v>
      </c>
      <c r="J89" s="36">
        <f t="shared" si="34"/>
        <v>30826.1</v>
      </c>
      <c r="K89" s="36">
        <f t="shared" si="35"/>
        <v>29961.82</v>
      </c>
      <c r="L89" s="37">
        <f t="shared" si="41"/>
        <v>28994.053214</v>
      </c>
      <c r="M89" s="36">
        <f>VLOOKUP($C89,$AS:$AT,2,0)-28994</f>
        <v>120065.37</v>
      </c>
      <c r="N89" s="38">
        <f t="shared" si="38"/>
        <v>336275.92321400001</v>
      </c>
      <c r="Q89" t="str">
        <f t="shared" si="36"/>
        <v>ERAF projekta "Kultūra, vēsture, arhitektūra Gaujas un laika lokos" īstenošana</v>
      </c>
      <c r="R89" t="str">
        <f t="shared" si="37"/>
        <v>10.06.2019</v>
      </c>
      <c r="U89" s="12" t="str">
        <f t="shared" si="42"/>
        <v>22.04.2015</v>
      </c>
      <c r="V89" s="9" t="s">
        <v>433</v>
      </c>
      <c r="W89" s="12" t="str">
        <f t="shared" si="42"/>
        <v>A2/1/20/67</v>
      </c>
      <c r="X89" s="13" t="s">
        <v>434</v>
      </c>
      <c r="Z89" s="1" t="s">
        <v>166</v>
      </c>
      <c r="AA89" s="1" t="s">
        <v>167</v>
      </c>
      <c r="AB89" s="2">
        <v>4425.82</v>
      </c>
      <c r="AD89" s="1" t="s">
        <v>174</v>
      </c>
      <c r="AE89" s="1" t="s">
        <v>175</v>
      </c>
      <c r="AF89" s="2">
        <v>394.46000000000004</v>
      </c>
      <c r="AH89" s="1" t="s">
        <v>180</v>
      </c>
      <c r="AI89" s="1" t="s">
        <v>181</v>
      </c>
      <c r="AJ89" s="2">
        <v>22201.08</v>
      </c>
      <c r="AL89" s="1" t="s">
        <v>190</v>
      </c>
      <c r="AM89" s="1" t="s">
        <v>191</v>
      </c>
      <c r="AN89" s="2">
        <v>46094.62</v>
      </c>
      <c r="AP89" s="1" t="s">
        <v>204</v>
      </c>
      <c r="AQ89" s="1" t="s">
        <v>205</v>
      </c>
      <c r="AR89" s="2">
        <v>17164.98</v>
      </c>
      <c r="AS89" s="1" t="s">
        <v>205</v>
      </c>
      <c r="AT89" s="2">
        <v>126540.05</v>
      </c>
    </row>
    <row r="90" spans="1:46" ht="20.25" customHeight="1" x14ac:dyDescent="0.3">
      <c r="A90" s="42">
        <v>85</v>
      </c>
      <c r="B90" s="26" t="s">
        <v>160</v>
      </c>
      <c r="C90" s="26" t="s">
        <v>161</v>
      </c>
      <c r="D90" s="28" t="s">
        <v>448</v>
      </c>
      <c r="E90" s="29" t="s">
        <v>449</v>
      </c>
      <c r="F90" s="27">
        <v>16460</v>
      </c>
      <c r="G90" s="36">
        <f t="shared" si="31"/>
        <v>18946.259999999998</v>
      </c>
      <c r="H90" s="36">
        <f t="shared" si="32"/>
        <v>18436.099999999999</v>
      </c>
      <c r="I90" s="36">
        <f t="shared" si="33"/>
        <v>17940.55</v>
      </c>
      <c r="J90" s="36">
        <f t="shared" si="34"/>
        <v>17443.669999999998</v>
      </c>
      <c r="K90" s="36">
        <f t="shared" si="35"/>
        <v>16954.609999999997</v>
      </c>
      <c r="L90" s="37">
        <f t="shared" si="41"/>
        <v>16406.976096999999</v>
      </c>
      <c r="M90" s="36">
        <f>VLOOKUP($C90,$AS:$AT,2,0)-16407</f>
        <v>67951.62</v>
      </c>
      <c r="N90" s="38">
        <f t="shared" si="38"/>
        <v>190539.78609699997</v>
      </c>
      <c r="Q90" t="e">
        <f t="shared" si="36"/>
        <v>#N/A</v>
      </c>
      <c r="R90" t="e">
        <f t="shared" si="37"/>
        <v>#N/A</v>
      </c>
      <c r="U90" s="12" t="str">
        <f t="shared" si="42"/>
        <v>11.08.2011</v>
      </c>
      <c r="V90" s="9" t="s">
        <v>435</v>
      </c>
      <c r="W90" s="12" t="str">
        <f t="shared" si="42"/>
        <v>A2/1/20/125</v>
      </c>
      <c r="X90" s="13" t="s">
        <v>428</v>
      </c>
      <c r="Z90" s="1" t="s">
        <v>168</v>
      </c>
      <c r="AA90" s="1" t="s">
        <v>169</v>
      </c>
      <c r="AB90" s="2">
        <v>2147.5100000000002</v>
      </c>
      <c r="AD90" s="1" t="s">
        <v>176</v>
      </c>
      <c r="AE90" s="1" t="s">
        <v>177</v>
      </c>
      <c r="AF90" s="2">
        <v>1558.3600000000001</v>
      </c>
      <c r="AH90" s="1" t="s">
        <v>182</v>
      </c>
      <c r="AI90" s="1" t="s">
        <v>183</v>
      </c>
      <c r="AJ90" s="2">
        <v>43777.31</v>
      </c>
      <c r="AL90" s="1" t="s">
        <v>192</v>
      </c>
      <c r="AM90" s="1" t="s">
        <v>193</v>
      </c>
      <c r="AN90" s="2">
        <v>10116.83</v>
      </c>
      <c r="AP90" s="1" t="s">
        <v>206</v>
      </c>
      <c r="AQ90" s="1" t="s">
        <v>207</v>
      </c>
      <c r="AR90" s="2">
        <v>18763.22</v>
      </c>
      <c r="AS90" s="1" t="s">
        <v>207</v>
      </c>
      <c r="AT90" s="2">
        <v>120606.45000000001</v>
      </c>
    </row>
    <row r="91" spans="1:46" ht="20.25" customHeight="1" x14ac:dyDescent="0.3">
      <c r="A91" s="42">
        <v>86</v>
      </c>
      <c r="B91" s="26" t="s">
        <v>162</v>
      </c>
      <c r="C91" s="26" t="s">
        <v>163</v>
      </c>
      <c r="D91" s="34" t="str">
        <f t="shared" ref="D91:D102" si="43">VLOOKUP($C91,$U:$X,2,0)</f>
        <v>P-201/2019 ERAF pr."Cēsu novada visp.izglītības iestāžu modernizācija"īstenošanai</v>
      </c>
      <c r="E91" s="34" t="str">
        <f t="shared" ref="E91:E102" si="44">VLOOKUP($C91,$W:$X,2,0)</f>
        <v>30.08.2019</v>
      </c>
      <c r="F91" s="27">
        <v>68369</v>
      </c>
      <c r="G91" s="36">
        <f t="shared" si="31"/>
        <v>87663.200000000012</v>
      </c>
      <c r="H91" s="36">
        <f t="shared" si="32"/>
        <v>85639.79</v>
      </c>
      <c r="I91" s="36">
        <f t="shared" si="33"/>
        <v>83711.350000000006</v>
      </c>
      <c r="J91" s="36">
        <f t="shared" si="34"/>
        <v>81777.62999999999</v>
      </c>
      <c r="K91" s="36">
        <f t="shared" si="35"/>
        <v>79912.429999999993</v>
      </c>
      <c r="L91" s="37">
        <f t="shared" si="41"/>
        <v>77331.258510999993</v>
      </c>
      <c r="M91" s="36">
        <f>VLOOKUP($C91,$AS:$AT,2,0)-77331</f>
        <v>768201.75</v>
      </c>
      <c r="N91" s="38">
        <f t="shared" si="38"/>
        <v>1332606.408511</v>
      </c>
      <c r="Q91" t="str">
        <f t="shared" si="36"/>
        <v>P-201/2019 ERAF pr."Cēsu novada visp.izglītības iestāžu modernizācija"īstenošanai</v>
      </c>
      <c r="R91" t="str">
        <f t="shared" si="37"/>
        <v>30.08.2019</v>
      </c>
      <c r="U91" s="12" t="str">
        <f t="shared" si="42"/>
        <v>23.11.2018</v>
      </c>
      <c r="V91" s="9" t="s">
        <v>436</v>
      </c>
      <c r="W91" s="12" t="str">
        <f t="shared" si="42"/>
        <v>A2/1/20/154</v>
      </c>
      <c r="X91" s="13" t="s">
        <v>437</v>
      </c>
      <c r="Z91" s="1" t="s">
        <v>170</v>
      </c>
      <c r="AA91" s="1" t="s">
        <v>171</v>
      </c>
      <c r="AB91" s="2">
        <v>37096.6</v>
      </c>
      <c r="AD91" s="1" t="s">
        <v>178</v>
      </c>
      <c r="AE91" s="1" t="s">
        <v>179</v>
      </c>
      <c r="AF91" s="2">
        <v>18492.38</v>
      </c>
      <c r="AH91" s="1" t="s">
        <v>184</v>
      </c>
      <c r="AI91" s="1" t="s">
        <v>185</v>
      </c>
      <c r="AJ91" s="2">
        <v>7471.2</v>
      </c>
      <c r="AL91" s="1" t="s">
        <v>194</v>
      </c>
      <c r="AM91" s="1" t="s">
        <v>195</v>
      </c>
      <c r="AN91" s="2">
        <v>58205.4</v>
      </c>
      <c r="AP91" s="1" t="s">
        <v>208</v>
      </c>
      <c r="AQ91" s="1" t="s">
        <v>209</v>
      </c>
      <c r="AR91" s="2">
        <v>47399.82</v>
      </c>
      <c r="AS91" s="1" t="s">
        <v>209</v>
      </c>
      <c r="AT91" s="2">
        <v>111641.82</v>
      </c>
    </row>
    <row r="92" spans="1:46" ht="20.25" customHeight="1" x14ac:dyDescent="0.3">
      <c r="A92" s="42">
        <v>87</v>
      </c>
      <c r="B92" s="26" t="s">
        <v>164</v>
      </c>
      <c r="C92" s="26" t="s">
        <v>165</v>
      </c>
      <c r="D92" s="34" t="str">
        <f t="shared" si="43"/>
        <v>P-52/2020 ERAF pr."Degradēto teritoriju revitalizācija Cēsu novadā II kārta" īstenošanai</v>
      </c>
      <c r="E92" s="34" t="str">
        <f t="shared" si="44"/>
        <v>11.03.2020</v>
      </c>
      <c r="F92" s="27">
        <v>146791</v>
      </c>
      <c r="G92" s="36">
        <f t="shared" si="31"/>
        <v>185657.38</v>
      </c>
      <c r="H92" s="36">
        <f t="shared" si="32"/>
        <v>177154.93</v>
      </c>
      <c r="I92" s="36">
        <f t="shared" si="33"/>
        <v>174930.12</v>
      </c>
      <c r="J92" s="36">
        <f t="shared" si="34"/>
        <v>170974.47</v>
      </c>
      <c r="K92" s="36">
        <f t="shared" si="35"/>
        <v>165507.29999999999</v>
      </c>
      <c r="L92" s="37">
        <f t="shared" si="41"/>
        <v>160161.41420999999</v>
      </c>
      <c r="M92" s="36">
        <f>VLOOKUP($C92,$AS:$AT,2,0)-160161</f>
        <v>2294810.7000000002</v>
      </c>
      <c r="N92" s="38">
        <f t="shared" si="38"/>
        <v>3475987.3142100004</v>
      </c>
      <c r="Q92" t="str">
        <f t="shared" si="36"/>
        <v>P-52/2020 ERAF pr."Degradēto teritoriju revitalizācija Cēsu novadā II kārta" īstenošanai</v>
      </c>
      <c r="R92" t="str">
        <f t="shared" si="37"/>
        <v>11.03.2020</v>
      </c>
      <c r="U92" s="12" t="str">
        <f t="shared" si="42"/>
        <v>28.07.2017</v>
      </c>
      <c r="V92" s="9" t="s">
        <v>438</v>
      </c>
      <c r="W92" s="12" t="str">
        <f t="shared" si="42"/>
        <v>A2/1/20/374</v>
      </c>
      <c r="X92" s="13" t="s">
        <v>439</v>
      </c>
      <c r="Z92" s="1" t="s">
        <v>172</v>
      </c>
      <c r="AA92" s="1" t="s">
        <v>173</v>
      </c>
      <c r="AB92" s="2">
        <v>830.14</v>
      </c>
      <c r="AD92" s="1" t="s">
        <v>180</v>
      </c>
      <c r="AE92" s="1" t="s">
        <v>181</v>
      </c>
      <c r="AF92" s="2">
        <v>22933.97</v>
      </c>
      <c r="AH92" s="1" t="s">
        <v>186</v>
      </c>
      <c r="AI92" s="1" t="s">
        <v>187</v>
      </c>
      <c r="AJ92" s="2">
        <v>7048</v>
      </c>
      <c r="AL92" s="1" t="s">
        <v>198</v>
      </c>
      <c r="AM92" s="1" t="s">
        <v>199</v>
      </c>
      <c r="AN92" s="2">
        <v>73341.709999999992</v>
      </c>
      <c r="AP92" s="1" t="s">
        <v>210</v>
      </c>
      <c r="AQ92" s="1" t="s">
        <v>211</v>
      </c>
      <c r="AR92" s="2">
        <v>32739.040000000001</v>
      </c>
      <c r="AS92" s="1" t="s">
        <v>211</v>
      </c>
      <c r="AT92" s="2">
        <v>77111.010000000009</v>
      </c>
    </row>
    <row r="93" spans="1:46" ht="20.25" customHeight="1" x14ac:dyDescent="0.3">
      <c r="A93" s="42">
        <v>88</v>
      </c>
      <c r="B93" s="26" t="s">
        <v>166</v>
      </c>
      <c r="C93" s="26" t="s">
        <v>167</v>
      </c>
      <c r="D93" s="34" t="str">
        <f t="shared" si="43"/>
        <v>P-51/2020 ELFLA pr."Cēsu novada pašvaldības grants ceļa A4 Akmenskrogs-Veismaņi-Vaives pag.robeža pārbūve"īstenošanai</v>
      </c>
      <c r="E93" s="34" t="str">
        <f t="shared" si="44"/>
        <v>11.03.2020</v>
      </c>
      <c r="F93" s="27">
        <v>19399</v>
      </c>
      <c r="G93" s="36">
        <f t="shared" si="31"/>
        <v>4425.82</v>
      </c>
      <c r="H93" s="36">
        <v>0</v>
      </c>
      <c r="I93" s="36">
        <v>0</v>
      </c>
      <c r="J93" s="36">
        <v>0</v>
      </c>
      <c r="K93" s="36">
        <v>0</v>
      </c>
      <c r="L93" s="37">
        <f t="shared" si="41"/>
        <v>0</v>
      </c>
      <c r="M93" s="36">
        <v>0</v>
      </c>
      <c r="N93" s="38">
        <f t="shared" si="38"/>
        <v>23824.82</v>
      </c>
      <c r="Q93" t="str">
        <f t="shared" si="36"/>
        <v>P-51/2020 ELFLA pr."Cēsu novada pašvaldības grants ceļa A4 Akmenskrogs-Veismaņi-Vaives pag.robeža pārbūve"īstenošanai</v>
      </c>
      <c r="R93" t="str">
        <f t="shared" si="37"/>
        <v>11.03.2020</v>
      </c>
      <c r="U93" s="12" t="str">
        <f>RIGHT(X93,9)</f>
        <v>0.04.2015</v>
      </c>
      <c r="V93" s="9" t="s">
        <v>440</v>
      </c>
      <c r="W93" s="12" t="str">
        <f>RIGHT(Z93,9)</f>
        <v>/1/20/486</v>
      </c>
      <c r="X93" s="13" t="s">
        <v>441</v>
      </c>
      <c r="Z93" s="1" t="s">
        <v>174</v>
      </c>
      <c r="AA93" s="1" t="s">
        <v>175</v>
      </c>
      <c r="AB93" s="2">
        <v>407.26</v>
      </c>
      <c r="AD93" s="1" t="s">
        <v>182</v>
      </c>
      <c r="AE93" s="1" t="s">
        <v>183</v>
      </c>
      <c r="AF93" s="2">
        <v>44883.040000000001</v>
      </c>
      <c r="AH93" s="1" t="s">
        <v>190</v>
      </c>
      <c r="AI93" s="1" t="s">
        <v>191</v>
      </c>
      <c r="AJ93" s="2">
        <v>46211.29</v>
      </c>
      <c r="AL93" s="1" t="s">
        <v>200</v>
      </c>
      <c r="AM93" s="1" t="s">
        <v>201</v>
      </c>
      <c r="AN93" s="2">
        <v>87105.569999999992</v>
      </c>
      <c r="AP93" s="1" t="s">
        <v>212</v>
      </c>
      <c r="AQ93" s="1" t="s">
        <v>213</v>
      </c>
      <c r="AR93" s="2">
        <v>34358.639999999999</v>
      </c>
      <c r="AS93" s="1" t="s">
        <v>213</v>
      </c>
      <c r="AT93" s="2">
        <v>141245.02000000002</v>
      </c>
    </row>
    <row r="94" spans="1:46" ht="20.25" customHeight="1" x14ac:dyDescent="0.3">
      <c r="A94" s="42">
        <v>89</v>
      </c>
      <c r="B94" s="26" t="s">
        <v>168</v>
      </c>
      <c r="C94" s="26" t="s">
        <v>169</v>
      </c>
      <c r="D94" s="34" t="str">
        <f t="shared" si="43"/>
        <v>ELFLA projekta "Pašvaldības autoceļa B21 Stacija-Brodi-Kaupēni-Teikmaņi pārbūve" īstenošanai</v>
      </c>
      <c r="E94" s="34" t="str">
        <f t="shared" si="44"/>
        <v>30.03.2020</v>
      </c>
      <c r="F94" s="27">
        <v>1987</v>
      </c>
      <c r="G94" s="36">
        <f t="shared" si="31"/>
        <v>2147.5100000000002</v>
      </c>
      <c r="H94" s="36">
        <f>VLOOKUP(C94,$AE:$AF,2,0)</f>
        <v>2076.4299999999998</v>
      </c>
      <c r="I94" s="36">
        <f>VLOOKUP($C94,$AI:$AJ,2,0)</f>
        <v>2006.6100000000001</v>
      </c>
      <c r="J94" s="36">
        <f>VLOOKUP($C94,$AM:$AN,2,0)</f>
        <v>1936.6</v>
      </c>
      <c r="K94" s="36">
        <f>VLOOKUP($C94,$AQ:$AR,2,0)</f>
        <v>1866.88</v>
      </c>
      <c r="L94" s="37">
        <f t="shared" si="41"/>
        <v>1806.579776</v>
      </c>
      <c r="M94" s="36">
        <f>VLOOKUP($C94,$AS:$AT,2,0)-1807</f>
        <v>431.46000000000004</v>
      </c>
      <c r="N94" s="38">
        <f t="shared" si="38"/>
        <v>14259.069776000004</v>
      </c>
      <c r="Q94" t="str">
        <f t="shared" si="36"/>
        <v>ELFLA projekta "Pašvaldības autoceļa B21 Stacija-Brodi-Kaupēni-Teikmaņi pārbūve" īstenošanai</v>
      </c>
      <c r="R94" t="str">
        <f t="shared" si="37"/>
        <v>30.03.2020</v>
      </c>
      <c r="U94" s="12" t="str">
        <f t="shared" ref="U94:W99" si="45">RIGHT(X94,11)</f>
        <v>02.09.2016</v>
      </c>
      <c r="V94" s="9" t="s">
        <v>442</v>
      </c>
      <c r="W94" s="12" t="str">
        <f t="shared" si="45"/>
        <v>A2/1/20/485</v>
      </c>
      <c r="X94" s="13" t="s">
        <v>443</v>
      </c>
      <c r="Z94" s="1" t="s">
        <v>176</v>
      </c>
      <c r="AA94" s="1" t="s">
        <v>177</v>
      </c>
      <c r="AB94" s="2">
        <v>1608.97</v>
      </c>
      <c r="AD94" s="1" t="s">
        <v>184</v>
      </c>
      <c r="AE94" s="1" t="s">
        <v>185</v>
      </c>
      <c r="AF94" s="2">
        <v>7685.74</v>
      </c>
      <c r="AH94" s="1" t="s">
        <v>192</v>
      </c>
      <c r="AI94" s="1" t="s">
        <v>193</v>
      </c>
      <c r="AJ94" s="2">
        <v>10438.119999999999</v>
      </c>
      <c r="AL94" s="1" t="s">
        <v>202</v>
      </c>
      <c r="AM94" s="1" t="s">
        <v>203</v>
      </c>
      <c r="AN94" s="2">
        <v>80233.939999999988</v>
      </c>
      <c r="AP94" s="1" t="s">
        <v>214</v>
      </c>
      <c r="AQ94" s="1" t="s">
        <v>215</v>
      </c>
      <c r="AR94" s="2">
        <v>36237.32</v>
      </c>
      <c r="AS94" s="1" t="s">
        <v>215</v>
      </c>
      <c r="AT94" s="2">
        <v>234549.45</v>
      </c>
    </row>
    <row r="95" spans="1:46" ht="20.25" customHeight="1" x14ac:dyDescent="0.3">
      <c r="A95" s="42">
        <v>90</v>
      </c>
      <c r="B95" s="26" t="s">
        <v>170</v>
      </c>
      <c r="C95" s="26" t="s">
        <v>171</v>
      </c>
      <c r="D95" s="34" t="str">
        <f t="shared" si="43"/>
        <v>P-116/2020 ERAF Pakalpojumu infrastruktūras attīstība deinstitucionalizācijas plāna īstenošanai Amatas novada Spārē</v>
      </c>
      <c r="E95" s="34" t="str">
        <f t="shared" si="44"/>
        <v>17.04.2020</v>
      </c>
      <c r="F95" s="27">
        <v>36820</v>
      </c>
      <c r="G95" s="36">
        <f t="shared" si="31"/>
        <v>37096.6</v>
      </c>
      <c r="H95" s="36">
        <f>VLOOKUP(C95,$AE:$AF,2,0)</f>
        <v>36783.97</v>
      </c>
      <c r="I95" s="36">
        <f>VLOOKUP($C95,$AI:$AJ,2,0)</f>
        <v>36476.83</v>
      </c>
      <c r="J95" s="36">
        <f>VLOOKUP($C95,$AM:$AN,2,0)</f>
        <v>36168.86</v>
      </c>
      <c r="K95" s="36">
        <f>VLOOKUP($C95,$AQ:$AR,2,0)</f>
        <v>35862.129999999997</v>
      </c>
      <c r="L95" s="37">
        <f t="shared" si="41"/>
        <v>34703.783200999998</v>
      </c>
      <c r="M95" s="36">
        <f>VLOOKUP($C95,$AS:$AT,2,0)-34704</f>
        <v>9705.1599999999962</v>
      </c>
      <c r="N95" s="38">
        <f t="shared" si="38"/>
        <v>263617.333201</v>
      </c>
      <c r="Q95" t="str">
        <f t="shared" si="36"/>
        <v>P-116/2020 ERAF Pakalpojumu infrastruktūras attīstība deinstitucionalizācijas plāna īstenošanai Amatas novada Spārē</v>
      </c>
      <c r="R95" t="str">
        <f t="shared" si="37"/>
        <v>17.04.2020</v>
      </c>
      <c r="U95" s="12" t="str">
        <f t="shared" si="45"/>
        <v>09.08.2016</v>
      </c>
      <c r="V95" s="9" t="s">
        <v>444</v>
      </c>
      <c r="W95" s="12" t="str">
        <f t="shared" si="45"/>
        <v>A2/1/20/607</v>
      </c>
      <c r="X95" s="13" t="s">
        <v>445</v>
      </c>
      <c r="Z95" s="1" t="s">
        <v>178</v>
      </c>
      <c r="AA95" s="1" t="s">
        <v>179</v>
      </c>
      <c r="AB95" s="2">
        <v>19079.37</v>
      </c>
      <c r="AD95" s="1" t="s">
        <v>186</v>
      </c>
      <c r="AE95" s="1" t="s">
        <v>187</v>
      </c>
      <c r="AF95" s="2">
        <v>9146.06</v>
      </c>
      <c r="AH95" s="1" t="s">
        <v>194</v>
      </c>
      <c r="AI95" s="1" t="s">
        <v>195</v>
      </c>
      <c r="AJ95" s="2">
        <v>60047.55</v>
      </c>
      <c r="AL95" s="1" t="s">
        <v>204</v>
      </c>
      <c r="AM95" s="1" t="s">
        <v>205</v>
      </c>
      <c r="AN95" s="2">
        <v>17631.25</v>
      </c>
      <c r="AP95" s="1" t="s">
        <v>218</v>
      </c>
      <c r="AQ95" s="1" t="s">
        <v>219</v>
      </c>
      <c r="AR95" s="2">
        <v>9637.48</v>
      </c>
      <c r="AS95" s="1" t="s">
        <v>219</v>
      </c>
      <c r="AT95" s="2">
        <v>22707.75</v>
      </c>
    </row>
    <row r="96" spans="1:46" ht="20.25" customHeight="1" x14ac:dyDescent="0.3">
      <c r="A96" s="42">
        <v>91</v>
      </c>
      <c r="B96" s="26" t="s">
        <v>172</v>
      </c>
      <c r="C96" s="26" t="s">
        <v>173</v>
      </c>
      <c r="D96" s="34" t="str">
        <f t="shared" si="43"/>
        <v>Bērnu rotaļu laukuma izveide Vecpiebalgā</v>
      </c>
      <c r="E96" s="34" t="str">
        <f t="shared" si="44"/>
        <v>02.07.2020</v>
      </c>
      <c r="F96" s="27">
        <v>748</v>
      </c>
      <c r="G96" s="36">
        <f t="shared" si="31"/>
        <v>830.14</v>
      </c>
      <c r="H96" s="36">
        <f>VLOOKUP(C96,$AE:$AF,2,0)</f>
        <v>802.96</v>
      </c>
      <c r="I96" s="36">
        <f>VLOOKUP($C96,$AI:$AJ,2,0)</f>
        <v>776.27</v>
      </c>
      <c r="J96" s="36">
        <f>VLOOKUP($C96,$AM:$AN,2,0)</f>
        <v>749.5</v>
      </c>
      <c r="K96" s="36">
        <f>VLOOKUP($C96,$AQ:$AR,2,0)</f>
        <v>722.85</v>
      </c>
      <c r="L96" s="37">
        <f t="shared" si="41"/>
        <v>699.50194499999998</v>
      </c>
      <c r="M96" s="36">
        <f>VLOOKUP($C96,$AS:$AT,2,0)-700</f>
        <v>335.32000000000016</v>
      </c>
      <c r="N96" s="38">
        <f t="shared" si="38"/>
        <v>5664.5419450000009</v>
      </c>
      <c r="Q96" t="str">
        <f t="shared" si="36"/>
        <v>Bērnu rotaļu laukuma izveide Vecpiebalgā</v>
      </c>
      <c r="R96" t="str">
        <f t="shared" si="37"/>
        <v>02.07.2020</v>
      </c>
      <c r="U96" s="12" t="str">
        <f t="shared" si="45"/>
        <v>06.08.2015</v>
      </c>
      <c r="V96" s="9" t="s">
        <v>446</v>
      </c>
      <c r="W96" s="12" t="str">
        <f t="shared" si="45"/>
        <v>A2/1/20/652</v>
      </c>
      <c r="X96" s="13" t="s">
        <v>447</v>
      </c>
      <c r="Z96" s="1" t="s">
        <v>180</v>
      </c>
      <c r="AA96" s="1" t="s">
        <v>181</v>
      </c>
      <c r="AB96" s="2">
        <v>23681.239999999998</v>
      </c>
      <c r="AD96" s="1" t="s">
        <v>190</v>
      </c>
      <c r="AE96" s="1" t="s">
        <v>191</v>
      </c>
      <c r="AF96" s="2">
        <v>46327.63</v>
      </c>
      <c r="AH96" s="1" t="s">
        <v>198</v>
      </c>
      <c r="AI96" s="1" t="s">
        <v>199</v>
      </c>
      <c r="AJ96" s="2">
        <v>109696.33</v>
      </c>
      <c r="AL96" s="1" t="s">
        <v>206</v>
      </c>
      <c r="AM96" s="1" t="s">
        <v>207</v>
      </c>
      <c r="AN96" s="2">
        <v>19299.12</v>
      </c>
      <c r="AP96" s="1" t="s">
        <v>220</v>
      </c>
      <c r="AQ96" s="1" t="s">
        <v>221</v>
      </c>
      <c r="AR96" s="2">
        <v>16857.2</v>
      </c>
      <c r="AS96" s="1" t="s">
        <v>221</v>
      </c>
      <c r="AT96" s="2">
        <v>65491.680000000008</v>
      </c>
    </row>
    <row r="97" spans="1:46" ht="20.25" customHeight="1" x14ac:dyDescent="0.3">
      <c r="A97" s="42">
        <v>92</v>
      </c>
      <c r="B97" s="26" t="s">
        <v>174</v>
      </c>
      <c r="C97" s="26" t="s">
        <v>175</v>
      </c>
      <c r="D97" s="34" t="str">
        <f t="shared" si="43"/>
        <v>ELFLA projekta "Peldvietas labiekārtošana pie Kaives ezera" īstenošanai</v>
      </c>
      <c r="E97" s="34" t="str">
        <f t="shared" si="44"/>
        <v>03.08.2020</v>
      </c>
      <c r="F97" s="27">
        <v>360</v>
      </c>
      <c r="G97" s="36">
        <f t="shared" si="31"/>
        <v>407.26</v>
      </c>
      <c r="H97" s="36">
        <f>VLOOKUP(C97,$AE:$AF,2,0)</f>
        <v>394.46000000000004</v>
      </c>
      <c r="I97" s="36">
        <f>VLOOKUP($C97,$AI:$AJ,2,0)</f>
        <v>381.89</v>
      </c>
      <c r="J97" s="36">
        <f>VLOOKUP($C97,$AM:$AN,2,0)</f>
        <v>369.28</v>
      </c>
      <c r="K97" s="36">
        <f>VLOOKUP($C97,$AQ:$AR,2,0)</f>
        <v>356.76</v>
      </c>
      <c r="L97" s="37">
        <f t="shared" si="41"/>
        <v>345.23665199999999</v>
      </c>
      <c r="M97" s="36">
        <f>VLOOKUP($C97,$AS:$AT,2,0)-345</f>
        <v>249</v>
      </c>
      <c r="N97" s="38">
        <f t="shared" si="38"/>
        <v>2863.8866520000001</v>
      </c>
      <c r="Q97" t="str">
        <f t="shared" si="36"/>
        <v>ELFLA projekta "Peldvietas labiekārtošana pie Kaives ezera" īstenošanai</v>
      </c>
      <c r="R97" t="str">
        <f t="shared" si="37"/>
        <v>03.08.2020</v>
      </c>
      <c r="U97" s="12" t="str">
        <f t="shared" si="45"/>
        <v>04.07.2019</v>
      </c>
      <c r="V97" s="9" t="s">
        <v>448</v>
      </c>
      <c r="W97" s="12" t="str">
        <f t="shared" si="45"/>
        <v>A2/1/20/665</v>
      </c>
      <c r="X97" s="13" t="s">
        <v>449</v>
      </c>
      <c r="Z97" s="1" t="s">
        <v>182</v>
      </c>
      <c r="AA97" s="1" t="s">
        <v>183</v>
      </c>
      <c r="AB97" s="2">
        <v>46040.4</v>
      </c>
      <c r="AD97" s="1" t="s">
        <v>192</v>
      </c>
      <c r="AE97" s="1" t="s">
        <v>193</v>
      </c>
      <c r="AF97" s="2">
        <v>10758.52</v>
      </c>
      <c r="AH97" s="1" t="s">
        <v>200</v>
      </c>
      <c r="AI97" s="1" t="s">
        <v>201</v>
      </c>
      <c r="AJ97" s="2">
        <v>105283.75</v>
      </c>
      <c r="AL97" s="1" t="s">
        <v>208</v>
      </c>
      <c r="AM97" s="1" t="s">
        <v>209</v>
      </c>
      <c r="AN97" s="2">
        <v>48967.360000000001</v>
      </c>
      <c r="AP97" s="1" t="s">
        <v>222</v>
      </c>
      <c r="AQ97" s="1" t="s">
        <v>223</v>
      </c>
      <c r="AR97" s="2">
        <v>453488.94</v>
      </c>
      <c r="AS97" s="1" t="s">
        <v>223</v>
      </c>
      <c r="AT97" s="2">
        <v>6587888.54</v>
      </c>
    </row>
    <row r="98" spans="1:46" ht="20.25" customHeight="1" x14ac:dyDescent="0.3">
      <c r="A98" s="42">
        <v>93</v>
      </c>
      <c r="B98" s="26" t="s">
        <v>176</v>
      </c>
      <c r="C98" s="26" t="s">
        <v>177</v>
      </c>
      <c r="D98" s="34" t="str">
        <f t="shared" si="43"/>
        <v>ELFLA projekta "Izstāžu taka Vecpiebalgas viesistabā" īstenošanai</v>
      </c>
      <c r="E98" s="34" t="str">
        <f t="shared" si="44"/>
        <v>03.08.2020</v>
      </c>
      <c r="F98" s="27">
        <v>1423</v>
      </c>
      <c r="G98" s="36">
        <f t="shared" si="31"/>
        <v>1608.97</v>
      </c>
      <c r="H98" s="36">
        <f>VLOOKUP(C98,$AE:$AF,2,0)</f>
        <v>1558.3600000000001</v>
      </c>
      <c r="I98" s="36">
        <f>VLOOKUP($C98,$AI:$AJ,2,0)</f>
        <v>1508.71</v>
      </c>
      <c r="J98" s="36">
        <f>VLOOKUP($C98,$AM:$AN,2,0)</f>
        <v>1458.93</v>
      </c>
      <c r="K98" s="36">
        <f>VLOOKUP($C98,$AQ:$AR,2,0)</f>
        <v>1409.4</v>
      </c>
      <c r="L98" s="37">
        <f t="shared" si="41"/>
        <v>1363.8763800000002</v>
      </c>
      <c r="M98" s="36">
        <f>VLOOKUP($C98,$AS:$AT,2,0)-1364</f>
        <v>982.73</v>
      </c>
      <c r="N98" s="38">
        <f t="shared" si="38"/>
        <v>11313.97638</v>
      </c>
      <c r="Q98" t="str">
        <f t="shared" si="36"/>
        <v>ELFLA projekta "Izstāžu taka Vecpiebalgas viesistabā" īstenošanai</v>
      </c>
      <c r="R98" t="str">
        <f t="shared" si="37"/>
        <v>03.08.2020</v>
      </c>
      <c r="U98" s="12" t="str">
        <f t="shared" si="45"/>
        <v>01.10.2020</v>
      </c>
      <c r="V98" s="9" t="s">
        <v>450</v>
      </c>
      <c r="W98" s="12" t="str">
        <f t="shared" si="45"/>
        <v>A2/1/20/684</v>
      </c>
      <c r="X98" s="13" t="s">
        <v>451</v>
      </c>
      <c r="Z98" s="1" t="s">
        <v>184</v>
      </c>
      <c r="AA98" s="1" t="s">
        <v>185</v>
      </c>
      <c r="AB98" s="2">
        <v>7905.9699999999993</v>
      </c>
      <c r="AD98" s="1" t="s">
        <v>194</v>
      </c>
      <c r="AE98" s="1" t="s">
        <v>195</v>
      </c>
      <c r="AF98" s="2">
        <v>61884.65</v>
      </c>
      <c r="AH98" s="1" t="s">
        <v>202</v>
      </c>
      <c r="AI98" s="1" t="s">
        <v>203</v>
      </c>
      <c r="AJ98" s="2">
        <v>69097.030000000013</v>
      </c>
      <c r="AL98" s="1" t="s">
        <v>210</v>
      </c>
      <c r="AM98" s="1" t="s">
        <v>211</v>
      </c>
      <c r="AN98" s="2">
        <v>33821.75</v>
      </c>
      <c r="AP98" s="1" t="s">
        <v>224</v>
      </c>
      <c r="AQ98" s="1" t="s">
        <v>225</v>
      </c>
      <c r="AR98" s="2">
        <v>36473.97</v>
      </c>
      <c r="AS98" s="1" t="s">
        <v>225</v>
      </c>
      <c r="AT98" s="2">
        <v>281019.12</v>
      </c>
    </row>
    <row r="99" spans="1:46" ht="20.25" customHeight="1" x14ac:dyDescent="0.3">
      <c r="A99" s="42">
        <v>94</v>
      </c>
      <c r="B99" s="26" t="s">
        <v>268</v>
      </c>
      <c r="C99" s="26" t="s">
        <v>269</v>
      </c>
      <c r="D99" s="34" t="str">
        <f t="shared" si="43"/>
        <v>ELFLA projekta "Skatu platformas-ekspozīcijas izveidošana "Kalna Kaibēnos"" īstenošanai</v>
      </c>
      <c r="E99" s="34" t="str">
        <f t="shared" si="44"/>
        <v>05.08.2020</v>
      </c>
      <c r="F99" s="27">
        <v>973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7">
        <f t="shared" si="41"/>
        <v>0</v>
      </c>
      <c r="M99" s="36">
        <v>0</v>
      </c>
      <c r="N99" s="38">
        <f t="shared" si="38"/>
        <v>973</v>
      </c>
      <c r="Q99" t="str">
        <f t="shared" si="36"/>
        <v>ELFLA projekta "Skatu platformas-ekspozīcijas izveidošana "Kalna Kaibēnos"" īstenošanai</v>
      </c>
      <c r="R99" t="str">
        <f t="shared" si="37"/>
        <v>05.08.2020</v>
      </c>
      <c r="U99" s="12" t="str">
        <f t="shared" si="45"/>
        <v>06.07.2021.</v>
      </c>
      <c r="V99" s="9" t="s">
        <v>452</v>
      </c>
      <c r="W99" s="12" t="str">
        <f t="shared" si="45"/>
        <v>A2/1/20/760</v>
      </c>
      <c r="X99" s="13" t="s">
        <v>453</v>
      </c>
      <c r="Z99" s="1" t="s">
        <v>186</v>
      </c>
      <c r="AA99" s="1" t="s">
        <v>187</v>
      </c>
      <c r="AB99" s="2">
        <v>9411.39</v>
      </c>
      <c r="AD99" s="1" t="s">
        <v>198</v>
      </c>
      <c r="AE99" s="1" t="s">
        <v>199</v>
      </c>
      <c r="AF99" s="2">
        <v>136289.44</v>
      </c>
      <c r="AH99" s="1" t="s">
        <v>204</v>
      </c>
      <c r="AI99" s="1" t="s">
        <v>205</v>
      </c>
      <c r="AJ99" s="2">
        <v>18109.010000000002</v>
      </c>
      <c r="AL99" s="1" t="s">
        <v>212</v>
      </c>
      <c r="AM99" s="1" t="s">
        <v>213</v>
      </c>
      <c r="AN99" s="2">
        <v>35425.29</v>
      </c>
      <c r="AP99" s="1" t="s">
        <v>228</v>
      </c>
      <c r="AQ99" s="1" t="s">
        <v>229</v>
      </c>
      <c r="AR99" s="2">
        <v>22702.43</v>
      </c>
      <c r="AS99" s="1" t="s">
        <v>229</v>
      </c>
      <c r="AT99" s="2">
        <v>87658.260000000009</v>
      </c>
    </row>
    <row r="100" spans="1:46" ht="20.25" customHeight="1" x14ac:dyDescent="0.3">
      <c r="A100" s="42">
        <v>95</v>
      </c>
      <c r="B100" s="26" t="s">
        <v>178</v>
      </c>
      <c r="C100" s="26" t="s">
        <v>179</v>
      </c>
      <c r="D100" s="34" t="str">
        <f t="shared" si="43"/>
        <v>P-272/2020 ERAF pr."Uzņēmējdarbības attīstību veicinošas vides attīst.Viestura ielā" īstenošanai</v>
      </c>
      <c r="E100" s="34" t="str">
        <f t="shared" si="44"/>
        <v>31.08.2020</v>
      </c>
      <c r="F100" s="27">
        <v>17108</v>
      </c>
      <c r="G100" s="36">
        <f t="shared" ref="G100:G140" si="46">VLOOKUP(C100,$AA:$AB,2,0)</f>
        <v>19079.37</v>
      </c>
      <c r="H100" s="36">
        <f>VLOOKUP(C100,$AE:$AF,2,0)</f>
        <v>18492.38</v>
      </c>
      <c r="I100" s="36">
        <f>VLOOKUP($C100,$AI:$AJ,2,0)</f>
        <v>17917.59</v>
      </c>
      <c r="J100" s="36">
        <f>VLOOKUP($C100,$AM:$AN,2,0)</f>
        <v>17341.22</v>
      </c>
      <c r="K100" s="36">
        <f>VLOOKUP($C100,$AQ:$AR,2,0)</f>
        <v>16769.169999999998</v>
      </c>
      <c r="L100" s="37">
        <f t="shared" si="41"/>
        <v>16227.525808999999</v>
      </c>
      <c r="M100" s="36">
        <f>VLOOKUP($C100,$AS:$AT,2,0)-16228</f>
        <v>22830.420000000006</v>
      </c>
      <c r="N100" s="38">
        <f t="shared" si="38"/>
        <v>145765.67580900001</v>
      </c>
      <c r="Q100" t="str">
        <f t="shared" si="36"/>
        <v>P-272/2020 ERAF pr."Uzņēmējdarbības attīstību veicinošas vides attīst.Viestura ielā" īstenošanai</v>
      </c>
      <c r="R100" t="str">
        <f t="shared" si="37"/>
        <v>31.08.2020</v>
      </c>
      <c r="U100" s="11" t="s">
        <v>237</v>
      </c>
      <c r="V100" s="9" t="s">
        <v>454</v>
      </c>
      <c r="W100" s="11" t="s">
        <v>237</v>
      </c>
      <c r="X100" s="14" t="s">
        <v>455</v>
      </c>
      <c r="Z100" s="1" t="s">
        <v>188</v>
      </c>
      <c r="AA100" s="1" t="s">
        <v>189</v>
      </c>
      <c r="AB100" s="2">
        <v>5.97</v>
      </c>
      <c r="AD100" s="1" t="s">
        <v>200</v>
      </c>
      <c r="AE100" s="1" t="s">
        <v>201</v>
      </c>
      <c r="AF100" s="2">
        <v>134720.69</v>
      </c>
      <c r="AH100" s="1" t="s">
        <v>206</v>
      </c>
      <c r="AI100" s="1" t="s">
        <v>207</v>
      </c>
      <c r="AJ100" s="2">
        <v>19846.349999999999</v>
      </c>
      <c r="AL100" s="1" t="s">
        <v>214</v>
      </c>
      <c r="AM100" s="1" t="s">
        <v>215</v>
      </c>
      <c r="AN100" s="2">
        <v>37266.449999999997</v>
      </c>
      <c r="AP100" s="1" t="s">
        <v>230</v>
      </c>
      <c r="AQ100" s="1" t="s">
        <v>231</v>
      </c>
      <c r="AR100" s="2">
        <v>40331.72</v>
      </c>
      <c r="AS100" s="1" t="s">
        <v>231</v>
      </c>
      <c r="AT100" s="2">
        <v>281126.77</v>
      </c>
    </row>
    <row r="101" spans="1:46" ht="20.25" customHeight="1" x14ac:dyDescent="0.3">
      <c r="A101" s="42">
        <v>96</v>
      </c>
      <c r="B101" s="26" t="s">
        <v>180</v>
      </c>
      <c r="C101" s="26" t="s">
        <v>181</v>
      </c>
      <c r="D101" s="34" t="str">
        <f t="shared" si="43"/>
        <v>Autoceļa Kalna Pentuļi-Meža Naukšēni pārbūve</v>
      </c>
      <c r="E101" s="34" t="str">
        <f t="shared" si="44"/>
        <v>15.09.2020</v>
      </c>
      <c r="F101" s="27">
        <v>21712</v>
      </c>
      <c r="G101" s="36">
        <f t="shared" si="46"/>
        <v>23681.239999999998</v>
      </c>
      <c r="H101" s="36">
        <f>VLOOKUP(C101,$AE:$AF,2,0)</f>
        <v>22933.97</v>
      </c>
      <c r="I101" s="36">
        <f>VLOOKUP($C101,$AI:$AJ,2,0)</f>
        <v>22201.08</v>
      </c>
      <c r="J101" s="36">
        <f>VLOOKUP($C101,$AM:$AN,2,0)</f>
        <v>21466.17</v>
      </c>
      <c r="K101" s="36">
        <f>VLOOKUP($C101,$AQ:$AR,2,0)</f>
        <v>20735.580000000002</v>
      </c>
      <c r="L101" s="37">
        <f t="shared" si="41"/>
        <v>20065.820766000001</v>
      </c>
      <c r="M101" s="36">
        <f>VLOOKUP($C101,$AS:$AT,2,0)-20066</f>
        <v>17424.769999999997</v>
      </c>
      <c r="N101" s="38">
        <f t="shared" si="38"/>
        <v>170220.63076599996</v>
      </c>
      <c r="Q101" t="str">
        <f t="shared" si="36"/>
        <v>Autoceļa Kalna Pentuļi-Meža Naukšēni pārbūve</v>
      </c>
      <c r="R101" t="str">
        <f t="shared" si="37"/>
        <v>15.09.2020</v>
      </c>
      <c r="U101" s="8" t="s">
        <v>55</v>
      </c>
      <c r="V101" s="9" t="s">
        <v>456</v>
      </c>
      <c r="W101" s="8" t="s">
        <v>55</v>
      </c>
      <c r="X101" s="13" t="s">
        <v>457</v>
      </c>
      <c r="Z101" s="1" t="s">
        <v>190</v>
      </c>
      <c r="AA101" s="1" t="s">
        <v>191</v>
      </c>
      <c r="AB101" s="2">
        <v>46445.34</v>
      </c>
      <c r="AD101" s="1" t="s">
        <v>202</v>
      </c>
      <c r="AE101" s="1" t="s">
        <v>203</v>
      </c>
      <c r="AF101" s="2">
        <v>69328.950000000012</v>
      </c>
      <c r="AH101" s="1" t="s">
        <v>208</v>
      </c>
      <c r="AI101" s="1" t="s">
        <v>209</v>
      </c>
      <c r="AJ101" s="2">
        <v>42108</v>
      </c>
      <c r="AL101" s="1" t="s">
        <v>218</v>
      </c>
      <c r="AM101" s="1" t="s">
        <v>219</v>
      </c>
      <c r="AN101" s="2">
        <v>9954.2900000000009</v>
      </c>
      <c r="AP101" s="1" t="s">
        <v>232</v>
      </c>
      <c r="AQ101" s="1" t="s">
        <v>233</v>
      </c>
      <c r="AR101" s="2">
        <v>31745.63</v>
      </c>
      <c r="AS101" s="1" t="s">
        <v>233</v>
      </c>
      <c r="AT101" s="2">
        <v>101426.76999999999</v>
      </c>
    </row>
    <row r="102" spans="1:46" ht="20.25" customHeight="1" x14ac:dyDescent="0.3">
      <c r="A102" s="42">
        <v>97</v>
      </c>
      <c r="B102" s="26" t="s">
        <v>182</v>
      </c>
      <c r="C102" s="26" t="s">
        <v>183</v>
      </c>
      <c r="D102" s="34" t="str">
        <f t="shared" si="43"/>
        <v>P-320/2020 projekta "Ielu seguma atjaunošana" īstenošanai</v>
      </c>
      <c r="E102" s="34" t="str">
        <f t="shared" si="44"/>
        <v>17.09.2020</v>
      </c>
      <c r="F102" s="27">
        <v>38413</v>
      </c>
      <c r="G102" s="36">
        <f t="shared" si="46"/>
        <v>46040.4</v>
      </c>
      <c r="H102" s="36">
        <f>VLOOKUP(C102,$AE:$AF,2,0)</f>
        <v>44883.040000000001</v>
      </c>
      <c r="I102" s="36">
        <f>VLOOKUP($C102,$AI:$AJ,2,0)</f>
        <v>43777.31</v>
      </c>
      <c r="J102" s="36">
        <f>VLOOKUP($C102,$AM:$AN,2,0)</f>
        <v>42668.54</v>
      </c>
      <c r="K102" s="36">
        <f>VLOOKUP($C102,$AQ:$AR,2,0)</f>
        <v>41596.18</v>
      </c>
      <c r="L102" s="37">
        <f t="shared" si="41"/>
        <v>40252.623385999999</v>
      </c>
      <c r="M102" s="36">
        <f>VLOOKUP($C102,$AS:$AT,2,0)-40253</f>
        <v>365144.9</v>
      </c>
      <c r="N102" s="38">
        <f t="shared" si="38"/>
        <v>662775.99338600005</v>
      </c>
      <c r="Q102" t="str">
        <f t="shared" ref="Q102:Q133" si="47">VLOOKUP($C102,$U:$X,2,0)</f>
        <v>P-320/2020 projekta "Ielu seguma atjaunošana" īstenošanai</v>
      </c>
      <c r="R102" t="str">
        <f t="shared" ref="R102:R133" si="48">VLOOKUP($C102,$W:$X,2,0)</f>
        <v>17.09.2020</v>
      </c>
      <c r="U102" s="9" t="s">
        <v>89</v>
      </c>
      <c r="V102" s="9" t="s">
        <v>458</v>
      </c>
      <c r="W102" s="9" t="s">
        <v>89</v>
      </c>
      <c r="X102" s="13" t="s">
        <v>459</v>
      </c>
      <c r="Z102" s="1" t="s">
        <v>192</v>
      </c>
      <c r="AA102" s="1" t="s">
        <v>193</v>
      </c>
      <c r="AB102" s="2">
        <v>11019.2</v>
      </c>
      <c r="AD102" s="1" t="s">
        <v>204</v>
      </c>
      <c r="AE102" s="1" t="s">
        <v>205</v>
      </c>
      <c r="AF102" s="2">
        <v>18585.43</v>
      </c>
      <c r="AH102" s="1" t="s">
        <v>210</v>
      </c>
      <c r="AI102" s="1" t="s">
        <v>211</v>
      </c>
      <c r="AJ102" s="2">
        <v>34912.660000000003</v>
      </c>
      <c r="AL102" s="1" t="s">
        <v>220</v>
      </c>
      <c r="AM102" s="1" t="s">
        <v>221</v>
      </c>
      <c r="AN102" s="2">
        <v>17394.510000000002</v>
      </c>
      <c r="AP102" s="1" t="s">
        <v>234</v>
      </c>
      <c r="AQ102" s="1" t="s">
        <v>235</v>
      </c>
      <c r="AR102" s="2">
        <v>19456.82</v>
      </c>
      <c r="AS102" s="1" t="s">
        <v>235</v>
      </c>
      <c r="AT102" s="2">
        <v>135621.07999999999</v>
      </c>
    </row>
    <row r="103" spans="1:46" ht="20.25" customHeight="1" x14ac:dyDescent="0.3">
      <c r="A103" s="42">
        <v>98</v>
      </c>
      <c r="B103" s="26" t="s">
        <v>184</v>
      </c>
      <c r="C103" s="26" t="s">
        <v>185</v>
      </c>
      <c r="D103" s="28" t="s">
        <v>450</v>
      </c>
      <c r="E103" s="29" t="s">
        <v>451</v>
      </c>
      <c r="F103" s="27">
        <v>7019</v>
      </c>
      <c r="G103" s="36">
        <f t="shared" si="46"/>
        <v>7905.9699999999993</v>
      </c>
      <c r="H103" s="36">
        <f>VLOOKUP(C103,$AE:$AF,2,0)</f>
        <v>7685.74</v>
      </c>
      <c r="I103" s="36">
        <f>VLOOKUP($C103,$AI:$AJ,2,0)</f>
        <v>7471.2</v>
      </c>
      <c r="J103" s="36">
        <f>VLOOKUP($C103,$AM:$AN,2,0)</f>
        <v>7256.04</v>
      </c>
      <c r="K103" s="36">
        <f>VLOOKUP($C103,$AQ:$AR,2,0)</f>
        <v>7045.02</v>
      </c>
      <c r="L103" s="37">
        <f t="shared" si="41"/>
        <v>6817.465854</v>
      </c>
      <c r="M103" s="36">
        <f>VLOOKUP($C103,$AS:$AT,2,0)-6817</f>
        <v>35097.919999999998</v>
      </c>
      <c r="N103" s="38">
        <f t="shared" si="38"/>
        <v>86298.355853999994</v>
      </c>
      <c r="Q103" t="e">
        <f t="shared" si="47"/>
        <v>#N/A</v>
      </c>
      <c r="R103" t="e">
        <f t="shared" si="48"/>
        <v>#N/A</v>
      </c>
      <c r="U103" s="10" t="s">
        <v>83</v>
      </c>
      <c r="V103" s="9" t="s">
        <v>460</v>
      </c>
      <c r="W103" s="10" t="s">
        <v>83</v>
      </c>
      <c r="X103" s="13" t="s">
        <v>461</v>
      </c>
      <c r="Z103" s="1" t="s">
        <v>194</v>
      </c>
      <c r="AA103" s="1" t="s">
        <v>195</v>
      </c>
      <c r="AB103" s="2">
        <v>63358.34</v>
      </c>
      <c r="AD103" s="1" t="s">
        <v>206</v>
      </c>
      <c r="AE103" s="1" t="s">
        <v>207</v>
      </c>
      <c r="AF103" s="2">
        <v>20392.099999999999</v>
      </c>
      <c r="AH103" s="1" t="s">
        <v>212</v>
      </c>
      <c r="AI103" s="1" t="s">
        <v>213</v>
      </c>
      <c r="AJ103" s="2">
        <v>36505.99</v>
      </c>
      <c r="AL103" s="1" t="s">
        <v>222</v>
      </c>
      <c r="AM103" s="1" t="s">
        <v>223</v>
      </c>
      <c r="AN103" s="2">
        <v>463320.22</v>
      </c>
      <c r="AP103" s="1" t="s">
        <v>236</v>
      </c>
      <c r="AQ103" s="1" t="s">
        <v>237</v>
      </c>
      <c r="AR103" s="2">
        <v>68735.83</v>
      </c>
      <c r="AS103" s="1" t="s">
        <v>237</v>
      </c>
      <c r="AT103" s="2">
        <v>734557.44000000006</v>
      </c>
    </row>
    <row r="104" spans="1:46" ht="20.25" customHeight="1" x14ac:dyDescent="0.3">
      <c r="A104" s="42">
        <v>99</v>
      </c>
      <c r="B104" s="26" t="s">
        <v>186</v>
      </c>
      <c r="C104" s="26" t="s">
        <v>187</v>
      </c>
      <c r="D104" s="34" t="str">
        <f t="shared" ref="D104:D117" si="49">VLOOKUP($C104,$U:$X,2,0)</f>
        <v>P-377/2020 projekta "Apvienotā gājēju un velosipēdistu ceļa jaunbūve Rīgas i.posmā no A.Kronvalda līdz Pētera ielai un Bērzaines ielas atjaunošana posmā no E.Dārziņa ielas līdz Gaujas ielai, Cēsīs, Cēsu novadā" īstenošanai</v>
      </c>
      <c r="E104" s="34" t="str">
        <f t="shared" ref="E104:E117" si="50">VLOOKUP($C104,$W:$X,2,0)</f>
        <v>16.10.2020</v>
      </c>
      <c r="F104" s="27">
        <v>8675</v>
      </c>
      <c r="G104" s="36">
        <f t="shared" si="46"/>
        <v>9411.39</v>
      </c>
      <c r="H104" s="36">
        <f>VLOOKUP(C104,$AE:$AF,2,0)</f>
        <v>9146.06</v>
      </c>
      <c r="I104" s="36">
        <f>VLOOKUP($C104,$AI:$AJ,2,0)</f>
        <v>7048</v>
      </c>
      <c r="J104" s="36">
        <f>VLOOKUP($C104,$AM:$AN,2,0)</f>
        <v>8593.92</v>
      </c>
      <c r="K104" s="36">
        <f>VLOOKUP($C104,$AQ:$AR,2,0)</f>
        <v>8322.01</v>
      </c>
      <c r="L104" s="37">
        <f t="shared" si="41"/>
        <v>8053.2090770000004</v>
      </c>
      <c r="M104" s="36">
        <f>VLOOKUP($C104,$AS:$AT,2,0)-8053</f>
        <v>20690.400000000001</v>
      </c>
      <c r="N104" s="38">
        <f t="shared" si="38"/>
        <v>79939.989077000006</v>
      </c>
      <c r="Q104" t="str">
        <f t="shared" si="47"/>
        <v>P-377/2020 projekta "Apvienotā gājēju un velosipēdistu ceļa jaunbūve Rīgas i.posmā no A.Kronvalda līdz Pētera ielai un Bērzaines ielas atjaunošana posmā no E.Dārziņa ielas līdz Gaujas ielai, Cēsīs, Cēsu novadā" īstenošanai</v>
      </c>
      <c r="R104" t="str">
        <f t="shared" si="48"/>
        <v>16.10.2020</v>
      </c>
      <c r="U104" s="8" t="s">
        <v>67</v>
      </c>
      <c r="V104" s="9" t="s">
        <v>462</v>
      </c>
      <c r="W104" s="8" t="s">
        <v>67</v>
      </c>
      <c r="X104" s="13" t="s">
        <v>463</v>
      </c>
      <c r="Z104" s="1" t="s">
        <v>196</v>
      </c>
      <c r="AA104" s="1" t="s">
        <v>197</v>
      </c>
      <c r="AB104" s="2">
        <v>10699.24</v>
      </c>
      <c r="AD104" s="1" t="s">
        <v>208</v>
      </c>
      <c r="AE104" s="1" t="s">
        <v>209</v>
      </c>
      <c r="AF104" s="2">
        <v>52121.9</v>
      </c>
      <c r="AH104" s="1" t="s">
        <v>214</v>
      </c>
      <c r="AI104" s="1" t="s">
        <v>215</v>
      </c>
      <c r="AJ104" s="2">
        <v>38317.47</v>
      </c>
      <c r="AL104" s="1" t="s">
        <v>224</v>
      </c>
      <c r="AM104" s="1" t="s">
        <v>225</v>
      </c>
      <c r="AN104" s="2">
        <v>37498.009999999995</v>
      </c>
      <c r="AP104" s="1" t="s">
        <v>238</v>
      </c>
      <c r="AQ104" s="1" t="s">
        <v>239</v>
      </c>
      <c r="AR104" s="2">
        <v>19909.150000000001</v>
      </c>
      <c r="AS104" s="1" t="s">
        <v>239</v>
      </c>
      <c r="AT104" s="2">
        <v>73120.420000000013</v>
      </c>
    </row>
    <row r="105" spans="1:46" ht="20.25" customHeight="1" x14ac:dyDescent="0.3">
      <c r="A105" s="42">
        <v>100</v>
      </c>
      <c r="B105" s="26" t="s">
        <v>188</v>
      </c>
      <c r="C105" s="26" t="s">
        <v>189</v>
      </c>
      <c r="D105" s="34" t="str">
        <f t="shared" si="49"/>
        <v>Pašvaldības transporta infrastruktūras (ielas) attīstībai</v>
      </c>
      <c r="E105" s="34" t="str">
        <f t="shared" si="50"/>
        <v>16.10.2020</v>
      </c>
      <c r="F105" s="27">
        <v>43058</v>
      </c>
      <c r="G105" s="36">
        <f t="shared" si="46"/>
        <v>5.97</v>
      </c>
      <c r="H105" s="36">
        <v>0</v>
      </c>
      <c r="I105" s="36">
        <v>0</v>
      </c>
      <c r="J105" s="36">
        <v>0</v>
      </c>
      <c r="K105" s="36">
        <v>0</v>
      </c>
      <c r="L105" s="37">
        <f t="shared" si="41"/>
        <v>0</v>
      </c>
      <c r="M105" s="36">
        <v>0</v>
      </c>
      <c r="N105" s="38">
        <f t="shared" si="38"/>
        <v>43063.97</v>
      </c>
      <c r="Q105" t="str">
        <f t="shared" si="47"/>
        <v>Pašvaldības transporta infrastruktūras (ielas) attīstībai</v>
      </c>
      <c r="R105" t="str">
        <f t="shared" si="48"/>
        <v>16.10.2020</v>
      </c>
      <c r="U105" s="9" t="s">
        <v>85</v>
      </c>
      <c r="V105" s="9" t="s">
        <v>464</v>
      </c>
      <c r="W105" s="9" t="s">
        <v>85</v>
      </c>
      <c r="X105" s="13" t="s">
        <v>461</v>
      </c>
      <c r="Z105" s="1" t="s">
        <v>198</v>
      </c>
      <c r="AA105" s="1" t="s">
        <v>199</v>
      </c>
      <c r="AB105" s="2">
        <v>212030.66</v>
      </c>
      <c r="AD105" s="1" t="s">
        <v>210</v>
      </c>
      <c r="AE105" s="1" t="s">
        <v>211</v>
      </c>
      <c r="AF105" s="2">
        <v>36000.61</v>
      </c>
      <c r="AH105" s="1" t="s">
        <v>218</v>
      </c>
      <c r="AI105" s="1" t="s">
        <v>219</v>
      </c>
      <c r="AJ105" s="2">
        <v>10273.49</v>
      </c>
      <c r="AL105" s="1" t="s">
        <v>228</v>
      </c>
      <c r="AM105" s="1" t="s">
        <v>229</v>
      </c>
      <c r="AN105" s="2">
        <v>23431.919999999998</v>
      </c>
      <c r="AP105" s="1" t="s">
        <v>240</v>
      </c>
      <c r="AQ105" s="1" t="s">
        <v>241</v>
      </c>
      <c r="AR105" s="2">
        <v>70917.820000000007</v>
      </c>
      <c r="AS105" s="1" t="s">
        <v>241</v>
      </c>
      <c r="AT105" s="2">
        <v>483191.2099999999</v>
      </c>
    </row>
    <row r="106" spans="1:46" ht="20.25" customHeight="1" x14ac:dyDescent="0.3">
      <c r="A106" s="42">
        <v>101</v>
      </c>
      <c r="B106" s="26" t="s">
        <v>190</v>
      </c>
      <c r="C106" s="26" t="s">
        <v>191</v>
      </c>
      <c r="D106" s="34" t="str">
        <f t="shared" si="49"/>
        <v>P-418/2020 IP Satiksmes drošības uzlabošana Līvu cioemā, Drabešu pagastā, Amatas novadā</v>
      </c>
      <c r="E106" s="34" t="str">
        <f t="shared" si="50"/>
        <v>28.10.2020</v>
      </c>
      <c r="F106" s="27">
        <v>46407</v>
      </c>
      <c r="G106" s="36">
        <f t="shared" si="46"/>
        <v>46445.34</v>
      </c>
      <c r="H106" s="36">
        <f>VLOOKUP(C106,$AE:$AF,2,0)</f>
        <v>46327.63</v>
      </c>
      <c r="I106" s="36">
        <f>VLOOKUP($C106,$AI:$AJ,2,0)</f>
        <v>46211.29</v>
      </c>
      <c r="J106" s="36">
        <f>VLOOKUP($C106,$AM:$AN,2,0)</f>
        <v>46094.62</v>
      </c>
      <c r="K106" s="36">
        <v>0</v>
      </c>
      <c r="L106" s="37">
        <f t="shared" si="41"/>
        <v>0</v>
      </c>
      <c r="M106" s="36">
        <v>0</v>
      </c>
      <c r="N106" s="38">
        <f t="shared" si="38"/>
        <v>231485.88</v>
      </c>
      <c r="Q106" t="str">
        <f t="shared" si="47"/>
        <v>P-418/2020 IP Satiksmes drošības uzlabošana Līvu cioemā, Drabešu pagastā, Amatas novadā</v>
      </c>
      <c r="R106" t="str">
        <f t="shared" si="48"/>
        <v>28.10.2020</v>
      </c>
      <c r="U106" s="8" t="s">
        <v>69</v>
      </c>
      <c r="V106" s="9" t="s">
        <v>465</v>
      </c>
      <c r="W106" s="8" t="s">
        <v>69</v>
      </c>
      <c r="X106" s="13" t="s">
        <v>466</v>
      </c>
      <c r="Z106" s="1" t="s">
        <v>200</v>
      </c>
      <c r="AA106" s="1" t="s">
        <v>201</v>
      </c>
      <c r="AB106" s="2">
        <v>189965.56000000003</v>
      </c>
      <c r="AD106" s="1" t="s">
        <v>212</v>
      </c>
      <c r="AE106" s="1" t="s">
        <v>213</v>
      </c>
      <c r="AF106" s="2">
        <v>37583.74</v>
      </c>
      <c r="AH106" s="1" t="s">
        <v>220</v>
      </c>
      <c r="AI106" s="1" t="s">
        <v>221</v>
      </c>
      <c r="AJ106" s="2">
        <v>17938.53</v>
      </c>
      <c r="AL106" s="1" t="s">
        <v>230</v>
      </c>
      <c r="AM106" s="1" t="s">
        <v>231</v>
      </c>
      <c r="AN106" s="2">
        <v>41454.93</v>
      </c>
      <c r="AP106" s="1" t="s">
        <v>242</v>
      </c>
      <c r="AQ106" s="1" t="s">
        <v>243</v>
      </c>
      <c r="AR106" s="2">
        <v>23834.559999999998</v>
      </c>
      <c r="AS106" s="1" t="s">
        <v>243</v>
      </c>
      <c r="AT106" s="2">
        <v>110012.95000000001</v>
      </c>
    </row>
    <row r="107" spans="1:46" ht="20.25" customHeight="1" x14ac:dyDescent="0.3">
      <c r="A107" s="42">
        <v>102</v>
      </c>
      <c r="B107" s="26" t="s">
        <v>192</v>
      </c>
      <c r="C107" s="26" t="s">
        <v>193</v>
      </c>
      <c r="D107" s="34" t="str">
        <f t="shared" si="49"/>
        <v>P-476/2020 projekta "Vilku ielas pārbūve posmā no Vilku ielas 5 līdz Saules ielai, Cēsīs, Cēsu novadā" īstenošanai</v>
      </c>
      <c r="E107" s="34" t="str">
        <f t="shared" si="50"/>
        <v>09.12.2020</v>
      </c>
      <c r="F107" s="27">
        <v>10305</v>
      </c>
      <c r="G107" s="36">
        <f t="shared" si="46"/>
        <v>11019.2</v>
      </c>
      <c r="H107" s="36">
        <f>VLOOKUP(C107,$AE:$AF,2,0)</f>
        <v>10758.52</v>
      </c>
      <c r="I107" s="36">
        <f>VLOOKUP($C107,$AI:$AJ,2,0)</f>
        <v>10438.119999999999</v>
      </c>
      <c r="J107" s="36">
        <f>VLOOKUP($C107,$AM:$AN,2,0)</f>
        <v>10116.83</v>
      </c>
      <c r="K107" s="36">
        <f>VLOOKUP($C107,$AQ:$AR,2,0)</f>
        <v>9799.14</v>
      </c>
      <c r="L107" s="37">
        <f t="shared" si="41"/>
        <v>9482.627778</v>
      </c>
      <c r="M107" s="36">
        <f>VLOOKUP($C107,$AS:$AT,2,0)-9843</f>
        <v>24786.28</v>
      </c>
      <c r="N107" s="38">
        <f t="shared" si="38"/>
        <v>96705.717777999991</v>
      </c>
      <c r="Q107" t="str">
        <f t="shared" si="47"/>
        <v>P-476/2020 projekta "Vilku ielas pārbūve posmā no Vilku ielas 5 līdz Saules ielai, Cēsīs, Cēsu novadā" īstenošanai</v>
      </c>
      <c r="R107" t="str">
        <f t="shared" si="48"/>
        <v>09.12.2020</v>
      </c>
      <c r="U107" s="8" t="s">
        <v>265</v>
      </c>
      <c r="V107" s="9" t="s">
        <v>467</v>
      </c>
      <c r="W107" s="8" t="s">
        <v>265</v>
      </c>
      <c r="X107" s="13" t="s">
        <v>468</v>
      </c>
      <c r="Z107" s="1" t="s">
        <v>202</v>
      </c>
      <c r="AA107" s="1" t="s">
        <v>203</v>
      </c>
      <c r="AB107" s="2">
        <v>58151.08</v>
      </c>
      <c r="AD107" s="1" t="s">
        <v>214</v>
      </c>
      <c r="AE107" s="1" t="s">
        <v>215</v>
      </c>
      <c r="AF107" s="2">
        <v>39365.64</v>
      </c>
      <c r="AH107" s="1" t="s">
        <v>222</v>
      </c>
      <c r="AI107" s="1" t="s">
        <v>223</v>
      </c>
      <c r="AJ107" s="2">
        <v>473691.3</v>
      </c>
      <c r="AL107" s="1" t="s">
        <v>232</v>
      </c>
      <c r="AM107" s="1" t="s">
        <v>233</v>
      </c>
      <c r="AN107" s="2">
        <v>32762.29</v>
      </c>
      <c r="AP107" s="1" t="s">
        <v>244</v>
      </c>
      <c r="AQ107" s="1" t="s">
        <v>245</v>
      </c>
      <c r="AR107" s="2">
        <v>26727.85</v>
      </c>
      <c r="AS107" s="1" t="s">
        <v>245</v>
      </c>
      <c r="AT107" s="2">
        <v>37694.31</v>
      </c>
    </row>
    <row r="108" spans="1:46" ht="20.25" customHeight="1" x14ac:dyDescent="0.3">
      <c r="A108" s="42">
        <v>103</v>
      </c>
      <c r="B108" s="26" t="s">
        <v>194</v>
      </c>
      <c r="C108" s="26" t="s">
        <v>195</v>
      </c>
      <c r="D108" s="34" t="str">
        <f t="shared" si="49"/>
        <v>P-489/2020 ERAF projekta(Nr.9.3.1.1/18/I/006)"Daudzfunkcionālais sociālo pakalpojumu centrs "Cēsis"" īstenošanai</v>
      </c>
      <c r="E108" s="34" t="str">
        <f t="shared" si="50"/>
        <v>11.12.2020</v>
      </c>
      <c r="F108" s="27">
        <v>59024</v>
      </c>
      <c r="G108" s="36">
        <f t="shared" si="46"/>
        <v>63358.34</v>
      </c>
      <c r="H108" s="36">
        <f>VLOOKUP(C108,$AE:$AF,2,0)</f>
        <v>61884.65</v>
      </c>
      <c r="I108" s="36">
        <f>VLOOKUP($C108,$AI:$AJ,2,0)</f>
        <v>60047.55</v>
      </c>
      <c r="J108" s="36">
        <f>VLOOKUP($C108,$AM:$AN,2,0)</f>
        <v>58205.4</v>
      </c>
      <c r="K108" s="36">
        <f>VLOOKUP($C108,$AQ:$AR,2,0)</f>
        <v>56386.2</v>
      </c>
      <c r="L108" s="37">
        <f t="shared" si="41"/>
        <v>54564.925739999999</v>
      </c>
      <c r="M108" s="36">
        <f>VLOOKUP($C108,$AS:$AT,2,0)-54565</f>
        <v>166919.13999999996</v>
      </c>
      <c r="N108" s="38">
        <f t="shared" si="38"/>
        <v>580390.20573999989</v>
      </c>
      <c r="Q108" t="str">
        <f t="shared" si="47"/>
        <v>P-489/2020 ERAF projekta(Nr.9.3.1.1/18/I/006)"Daudzfunkcionālais sociālo pakalpojumu centrs "Cēsis"" īstenošanai</v>
      </c>
      <c r="R108" t="str">
        <f t="shared" si="48"/>
        <v>11.12.2020</v>
      </c>
      <c r="U108" s="9" t="s">
        <v>159</v>
      </c>
      <c r="V108" s="9" t="s">
        <v>469</v>
      </c>
      <c r="W108" s="9" t="s">
        <v>159</v>
      </c>
      <c r="X108" s="13" t="s">
        <v>470</v>
      </c>
      <c r="Z108" s="1" t="s">
        <v>204</v>
      </c>
      <c r="AA108" s="1" t="s">
        <v>205</v>
      </c>
      <c r="AB108" s="2">
        <v>19079.84</v>
      </c>
      <c r="AD108" s="1" t="s">
        <v>218</v>
      </c>
      <c r="AE108" s="1" t="s">
        <v>219</v>
      </c>
      <c r="AF108" s="2">
        <v>10591.84</v>
      </c>
      <c r="AH108" s="1" t="s">
        <v>224</v>
      </c>
      <c r="AI108" s="1" t="s">
        <v>225</v>
      </c>
      <c r="AJ108" s="2">
        <v>38548.65</v>
      </c>
      <c r="AL108" s="1" t="s">
        <v>234</v>
      </c>
      <c r="AM108" s="1" t="s">
        <v>235</v>
      </c>
      <c r="AN108" s="2">
        <v>19998.690000000002</v>
      </c>
      <c r="AP108" s="1" t="s">
        <v>246</v>
      </c>
      <c r="AQ108" s="1" t="s">
        <v>247</v>
      </c>
      <c r="AR108" s="2">
        <v>10581.31</v>
      </c>
      <c r="AS108" s="1" t="s">
        <v>247</v>
      </c>
      <c r="AT108" s="2">
        <v>53186.210000000006</v>
      </c>
    </row>
    <row r="109" spans="1:46" ht="20.25" customHeight="1" x14ac:dyDescent="0.3">
      <c r="A109" s="42">
        <v>104</v>
      </c>
      <c r="B109" s="26" t="s">
        <v>196</v>
      </c>
      <c r="C109" s="26" t="s">
        <v>197</v>
      </c>
      <c r="D109" s="34" t="str">
        <f t="shared" si="49"/>
        <v>Pāvila Rozīša ielas atjaunošana Priekuļu novada Liepas pagastā</v>
      </c>
      <c r="E109" s="34" t="str">
        <f t="shared" si="50"/>
        <v>17.12.2020</v>
      </c>
      <c r="F109" s="27">
        <v>25066</v>
      </c>
      <c r="G109" s="36">
        <f t="shared" si="46"/>
        <v>10699.24</v>
      </c>
      <c r="H109" s="36">
        <v>0</v>
      </c>
      <c r="I109" s="36">
        <v>0</v>
      </c>
      <c r="J109" s="36">
        <v>0</v>
      </c>
      <c r="K109" s="36">
        <v>0</v>
      </c>
      <c r="L109" s="37">
        <f t="shared" si="41"/>
        <v>0</v>
      </c>
      <c r="M109" s="36">
        <v>0</v>
      </c>
      <c r="N109" s="38">
        <f t="shared" si="38"/>
        <v>35765.24</v>
      </c>
      <c r="Q109" t="str">
        <f t="shared" si="47"/>
        <v>Pāvila Rozīša ielas atjaunošana Priekuļu novada Liepas pagastā</v>
      </c>
      <c r="R109" t="str">
        <f t="shared" si="48"/>
        <v>17.12.2020</v>
      </c>
      <c r="U109" s="9" t="s">
        <v>127</v>
      </c>
      <c r="V109" s="9" t="s">
        <v>471</v>
      </c>
      <c r="W109" s="9" t="s">
        <v>127</v>
      </c>
      <c r="X109" s="13" t="s">
        <v>472</v>
      </c>
      <c r="Z109" s="1" t="s">
        <v>206</v>
      </c>
      <c r="AA109" s="1" t="s">
        <v>207</v>
      </c>
      <c r="AB109" s="2">
        <v>20956.68</v>
      </c>
      <c r="AD109" s="1" t="s">
        <v>220</v>
      </c>
      <c r="AE109" s="1" t="s">
        <v>221</v>
      </c>
      <c r="AF109" s="2">
        <v>18481.02</v>
      </c>
      <c r="AH109" s="1" t="s">
        <v>228</v>
      </c>
      <c r="AI109" s="1" t="s">
        <v>229</v>
      </c>
      <c r="AJ109" s="2">
        <v>24170.440000000002</v>
      </c>
      <c r="AL109" s="1" t="s">
        <v>236</v>
      </c>
      <c r="AM109" s="1" t="s">
        <v>237</v>
      </c>
      <c r="AN109" s="2">
        <v>70413.16</v>
      </c>
      <c r="AP109" s="1" t="s">
        <v>248</v>
      </c>
      <c r="AQ109" s="1" t="s">
        <v>249</v>
      </c>
      <c r="AR109" s="2">
        <v>24671.43</v>
      </c>
      <c r="AS109" s="1" t="s">
        <v>249</v>
      </c>
      <c r="AT109" s="2">
        <v>124885.11000000002</v>
      </c>
    </row>
    <row r="110" spans="1:46" ht="20.25" customHeight="1" x14ac:dyDescent="0.3">
      <c r="A110" s="42">
        <v>105</v>
      </c>
      <c r="B110" s="26" t="s">
        <v>198</v>
      </c>
      <c r="C110" s="26" t="s">
        <v>199</v>
      </c>
      <c r="D110" s="34" t="str">
        <f t="shared" si="49"/>
        <v>PP-7/2021 Investīciju projektu īstenošanai (saistību pārjaunojums)</v>
      </c>
      <c r="E110" s="34" t="str">
        <f t="shared" si="50"/>
        <v>29.03.2021</v>
      </c>
      <c r="F110" s="27">
        <v>215127</v>
      </c>
      <c r="G110" s="36">
        <f t="shared" si="46"/>
        <v>212030.66</v>
      </c>
      <c r="H110" s="36">
        <f t="shared" ref="H110:H118" si="51">VLOOKUP(C110,$AE:$AF,2,0)</f>
        <v>136289.44</v>
      </c>
      <c r="I110" s="36">
        <f t="shared" ref="I110:I118" si="52">VLOOKUP($C110,$AI:$AJ,2,0)</f>
        <v>109696.33</v>
      </c>
      <c r="J110" s="36">
        <f t="shared" ref="J110:J118" si="53">VLOOKUP($C110,$AM:$AN,2,0)</f>
        <v>73341.709999999992</v>
      </c>
      <c r="K110" s="36">
        <f t="shared" ref="K110:K118" si="54">VLOOKUP($C110,$AQ:$AR,2,0)</f>
        <v>45115.68</v>
      </c>
      <c r="L110" s="37">
        <v>10718</v>
      </c>
      <c r="M110" s="36">
        <v>0</v>
      </c>
      <c r="N110" s="38">
        <f t="shared" si="38"/>
        <v>802318.82000000007</v>
      </c>
      <c r="Q110" t="str">
        <f t="shared" si="47"/>
        <v>PP-7/2021 Investīciju projektu īstenošanai (saistību pārjaunojums)</v>
      </c>
      <c r="R110" t="str">
        <f t="shared" si="48"/>
        <v>29.03.2021</v>
      </c>
      <c r="U110" s="9" t="s">
        <v>121</v>
      </c>
      <c r="V110" s="9" t="s">
        <v>473</v>
      </c>
      <c r="W110" s="9" t="s">
        <v>121</v>
      </c>
      <c r="X110" s="13" t="s">
        <v>474</v>
      </c>
      <c r="Z110" s="1" t="s">
        <v>208</v>
      </c>
      <c r="AA110" s="1" t="s">
        <v>209</v>
      </c>
      <c r="AB110" s="2">
        <v>53730.520000000004</v>
      </c>
      <c r="AD110" s="1" t="s">
        <v>222</v>
      </c>
      <c r="AE110" s="1" t="s">
        <v>223</v>
      </c>
      <c r="AF110" s="2">
        <v>484034.02</v>
      </c>
      <c r="AH110" s="1" t="s">
        <v>230</v>
      </c>
      <c r="AI110" s="1" t="s">
        <v>231</v>
      </c>
      <c r="AJ110" s="2">
        <v>42604.11</v>
      </c>
      <c r="AL110" s="1" t="s">
        <v>238</v>
      </c>
      <c r="AM110" s="1" t="s">
        <v>239</v>
      </c>
      <c r="AN110" s="2">
        <v>20552.88</v>
      </c>
      <c r="AP110" s="1" t="s">
        <v>250</v>
      </c>
      <c r="AQ110" s="1" t="s">
        <v>251</v>
      </c>
      <c r="AR110" s="2">
        <v>19401.11</v>
      </c>
      <c r="AS110" s="1" t="s">
        <v>251</v>
      </c>
      <c r="AT110" s="2">
        <v>98207</v>
      </c>
    </row>
    <row r="111" spans="1:46" ht="20.25" customHeight="1" x14ac:dyDescent="0.3">
      <c r="A111" s="42">
        <v>106</v>
      </c>
      <c r="B111" s="26" t="s">
        <v>200</v>
      </c>
      <c r="C111" s="26" t="s">
        <v>201</v>
      </c>
      <c r="D111" s="34" t="str">
        <f t="shared" si="49"/>
        <v>Saistību pārjaunojuma līgums</v>
      </c>
      <c r="E111" s="34" t="str">
        <f t="shared" si="50"/>
        <v>08.04.2021.</v>
      </c>
      <c r="F111" s="27">
        <v>199433</v>
      </c>
      <c r="G111" s="36">
        <f t="shared" si="46"/>
        <v>189965.56000000003</v>
      </c>
      <c r="H111" s="36">
        <f t="shared" si="51"/>
        <v>134720.69</v>
      </c>
      <c r="I111" s="36">
        <f t="shared" si="52"/>
        <v>105283.75</v>
      </c>
      <c r="J111" s="36">
        <f t="shared" si="53"/>
        <v>87105.569999999992</v>
      </c>
      <c r="K111" s="36">
        <f t="shared" si="54"/>
        <v>33910</v>
      </c>
      <c r="L111" s="37">
        <f t="shared" si="41"/>
        <v>32814.707000000002</v>
      </c>
      <c r="M111" s="36">
        <f>VLOOKUP($C111,$AS:$AT,2,0)-32815</f>
        <v>30836.75</v>
      </c>
      <c r="N111" s="38">
        <f t="shared" si="38"/>
        <v>814070.027</v>
      </c>
      <c r="Q111" t="str">
        <f t="shared" si="47"/>
        <v>Saistību pārjaunojuma līgums</v>
      </c>
      <c r="R111" t="str">
        <f t="shared" si="48"/>
        <v>08.04.2021.</v>
      </c>
      <c r="U111" s="9" t="s">
        <v>99</v>
      </c>
      <c r="V111" s="9" t="s">
        <v>475</v>
      </c>
      <c r="W111" s="9" t="s">
        <v>99</v>
      </c>
      <c r="X111" s="13" t="s">
        <v>476</v>
      </c>
      <c r="Z111" s="1" t="s">
        <v>210</v>
      </c>
      <c r="AA111" s="1" t="s">
        <v>211</v>
      </c>
      <c r="AB111" s="2">
        <v>37111.68</v>
      </c>
      <c r="AD111" s="1" t="s">
        <v>224</v>
      </c>
      <c r="AE111" s="1" t="s">
        <v>225</v>
      </c>
      <c r="AF111" s="2">
        <v>39596.410000000003</v>
      </c>
      <c r="AH111" s="1" t="s">
        <v>232</v>
      </c>
      <c r="AI111" s="1" t="s">
        <v>233</v>
      </c>
      <c r="AJ111" s="2">
        <v>33789.29</v>
      </c>
      <c r="AL111" s="1" t="s">
        <v>240</v>
      </c>
      <c r="AM111" s="1" t="s">
        <v>241</v>
      </c>
      <c r="AN111" s="2">
        <v>72972.02</v>
      </c>
      <c r="AP111" s="1" t="s">
        <v>252</v>
      </c>
      <c r="AQ111" s="1" t="s">
        <v>253</v>
      </c>
      <c r="AR111" s="2">
        <v>28167.48</v>
      </c>
      <c r="AS111" s="1" t="s">
        <v>253</v>
      </c>
      <c r="AT111" s="2">
        <v>111415.95</v>
      </c>
    </row>
    <row r="112" spans="1:46" ht="20.25" customHeight="1" x14ac:dyDescent="0.3">
      <c r="A112" s="42">
        <v>107</v>
      </c>
      <c r="B112" s="26" t="s">
        <v>202</v>
      </c>
      <c r="C112" s="26" t="s">
        <v>203</v>
      </c>
      <c r="D112" s="34" t="str">
        <f t="shared" si="49"/>
        <v>Saistību pārjaunojuma līgums</v>
      </c>
      <c r="E112" s="34" t="str">
        <f t="shared" si="50"/>
        <v>08.04.2021.</v>
      </c>
      <c r="F112" s="27">
        <v>57604</v>
      </c>
      <c r="G112" s="36">
        <f t="shared" si="46"/>
        <v>58151.08</v>
      </c>
      <c r="H112" s="36">
        <f t="shared" si="51"/>
        <v>69328.950000000012</v>
      </c>
      <c r="I112" s="36">
        <f t="shared" si="52"/>
        <v>69097.030000000013</v>
      </c>
      <c r="J112" s="36">
        <f t="shared" si="53"/>
        <v>80233.939999999988</v>
      </c>
      <c r="K112" s="36">
        <f t="shared" si="54"/>
        <v>79965.710000000006</v>
      </c>
      <c r="L112" s="37">
        <f t="shared" si="41"/>
        <v>77382.817567000006</v>
      </c>
      <c r="M112" s="36">
        <f>VLOOKUP($C112,$AS:$AT,2,0)-77383</f>
        <v>361300.86</v>
      </c>
      <c r="N112" s="38">
        <f t="shared" si="38"/>
        <v>853064.387567</v>
      </c>
      <c r="Q112" t="str">
        <f t="shared" si="47"/>
        <v>Saistību pārjaunojuma līgums</v>
      </c>
      <c r="R112" t="str">
        <f t="shared" si="48"/>
        <v>08.04.2021.</v>
      </c>
      <c r="U112" s="9" t="s">
        <v>207</v>
      </c>
      <c r="V112" s="9" t="s">
        <v>477</v>
      </c>
      <c r="W112" s="9" t="s">
        <v>207</v>
      </c>
      <c r="X112" s="14" t="s">
        <v>478</v>
      </c>
      <c r="Z112" s="1" t="s">
        <v>212</v>
      </c>
      <c r="AA112" s="1" t="s">
        <v>213</v>
      </c>
      <c r="AB112" s="2">
        <v>38690.32</v>
      </c>
      <c r="AD112" s="1" t="s">
        <v>228</v>
      </c>
      <c r="AE112" s="1" t="s">
        <v>229</v>
      </c>
      <c r="AF112" s="2">
        <v>24906.95</v>
      </c>
      <c r="AH112" s="1" t="s">
        <v>234</v>
      </c>
      <c r="AI112" s="1" t="s">
        <v>235</v>
      </c>
      <c r="AJ112" s="2">
        <v>20553.080000000002</v>
      </c>
      <c r="AL112" s="1" t="s">
        <v>242</v>
      </c>
      <c r="AM112" s="1" t="s">
        <v>243</v>
      </c>
      <c r="AN112" s="2">
        <v>24680.75</v>
      </c>
      <c r="AP112" s="1" t="s">
        <v>254</v>
      </c>
      <c r="AQ112" s="1" t="s">
        <v>255</v>
      </c>
      <c r="AR112" s="2">
        <v>32777.1</v>
      </c>
      <c r="AS112" s="1" t="s">
        <v>255</v>
      </c>
      <c r="AT112" s="2">
        <v>166101.53</v>
      </c>
    </row>
    <row r="113" spans="1:46" ht="20.25" customHeight="1" x14ac:dyDescent="0.3">
      <c r="A113" s="42">
        <v>108</v>
      </c>
      <c r="B113" s="26" t="s">
        <v>204</v>
      </c>
      <c r="C113" s="26" t="s">
        <v>205</v>
      </c>
      <c r="D113" s="34" t="str">
        <f t="shared" si="49"/>
        <v>P-100/2021 Latvijas-Krievijas pārrobežu sadarbības programmas proj."Ilgtsp.zaļās infrastruktūras un atraktīvās atpūtas zonas attīstība dabā" investīciju daļas īstenošanai</v>
      </c>
      <c r="E113" s="34" t="str">
        <f t="shared" si="50"/>
        <v>05.05.2021</v>
      </c>
      <c r="F113" s="27">
        <v>15899</v>
      </c>
      <c r="G113" s="36">
        <f t="shared" si="46"/>
        <v>19079.84</v>
      </c>
      <c r="H113" s="36">
        <f t="shared" si="51"/>
        <v>18585.43</v>
      </c>
      <c r="I113" s="36">
        <f t="shared" si="52"/>
        <v>18109.010000000002</v>
      </c>
      <c r="J113" s="36">
        <f t="shared" si="53"/>
        <v>17631.25</v>
      </c>
      <c r="K113" s="36">
        <f t="shared" si="54"/>
        <v>17164.98</v>
      </c>
      <c r="L113" s="37">
        <f t="shared" si="41"/>
        <v>16610.551145999998</v>
      </c>
      <c r="M113" s="36">
        <f>VLOOKUP($C113,$AS:$AT,2,0)-16611</f>
        <v>109929.05</v>
      </c>
      <c r="N113" s="38">
        <f t="shared" si="38"/>
        <v>233009.11114599998</v>
      </c>
      <c r="Q113" t="str">
        <f t="shared" si="47"/>
        <v>P-100/2021 Latvijas-Krievijas pārrobežu sadarbības programmas proj."Ilgtsp.zaļās infrastruktūras un atraktīvās atpūtas zonas attīstība dabā" investīciju daļas īstenošanai</v>
      </c>
      <c r="R113" t="str">
        <f t="shared" si="48"/>
        <v>05.05.2021</v>
      </c>
      <c r="U113" s="9" t="s">
        <v>129</v>
      </c>
      <c r="V113" s="9" t="s">
        <v>479</v>
      </c>
      <c r="W113" s="9" t="s">
        <v>129</v>
      </c>
      <c r="X113" s="13" t="s">
        <v>480</v>
      </c>
      <c r="Z113" s="1" t="s">
        <v>214</v>
      </c>
      <c r="AA113" s="1" t="s">
        <v>215</v>
      </c>
      <c r="AB113" s="2">
        <v>40450.119999999995</v>
      </c>
      <c r="AD113" s="1" t="s">
        <v>230</v>
      </c>
      <c r="AE113" s="1" t="s">
        <v>231</v>
      </c>
      <c r="AF113" s="2">
        <v>43750.14</v>
      </c>
      <c r="AH113" s="1" t="s">
        <v>236</v>
      </c>
      <c r="AI113" s="1" t="s">
        <v>237</v>
      </c>
      <c r="AJ113" s="2">
        <v>72153.63</v>
      </c>
      <c r="AL113" s="1" t="s">
        <v>244</v>
      </c>
      <c r="AM113" s="1" t="s">
        <v>245</v>
      </c>
      <c r="AN113" s="2">
        <v>27839.89</v>
      </c>
      <c r="AP113" s="1" t="s">
        <v>256</v>
      </c>
      <c r="AQ113" s="1" t="s">
        <v>257</v>
      </c>
      <c r="AR113" s="2">
        <v>23013.190000000002</v>
      </c>
      <c r="AS113" s="1" t="s">
        <v>257</v>
      </c>
      <c r="AT113" s="2">
        <v>119391.26000000001</v>
      </c>
    </row>
    <row r="114" spans="1:46" ht="20.25" customHeight="1" x14ac:dyDescent="0.3">
      <c r="A114" s="42">
        <v>109</v>
      </c>
      <c r="B114" s="26" t="s">
        <v>206</v>
      </c>
      <c r="C114" s="26" t="s">
        <v>207</v>
      </c>
      <c r="D114" s="34" t="str">
        <f t="shared" si="49"/>
        <v>Stalbes pamatskolas sporta stadiona skrejceļa pārbūve</v>
      </c>
      <c r="E114" s="34" t="str">
        <f t="shared" si="50"/>
        <v>08.06.2021</v>
      </c>
      <c r="F114" s="27">
        <v>17424</v>
      </c>
      <c r="G114" s="36">
        <f t="shared" si="46"/>
        <v>20956.68</v>
      </c>
      <c r="H114" s="36">
        <f t="shared" si="51"/>
        <v>20392.099999999999</v>
      </c>
      <c r="I114" s="36">
        <f t="shared" si="52"/>
        <v>19846.349999999999</v>
      </c>
      <c r="J114" s="36">
        <f t="shared" si="53"/>
        <v>19299.12</v>
      </c>
      <c r="K114" s="36">
        <f t="shared" si="54"/>
        <v>18763.22</v>
      </c>
      <c r="L114" s="37">
        <f t="shared" si="41"/>
        <v>18157.167993999999</v>
      </c>
      <c r="M114" s="36">
        <f>VLOOKUP($C114,$AS:$AT,2,0)-18157</f>
        <v>102449.45000000001</v>
      </c>
      <c r="N114" s="38">
        <f t="shared" si="38"/>
        <v>237288.087994</v>
      </c>
      <c r="Q114" t="str">
        <f t="shared" si="47"/>
        <v>Stalbes pamatskolas sporta stadiona skrejceļa pārbūve</v>
      </c>
      <c r="R114" t="str">
        <f t="shared" si="48"/>
        <v>08.06.2021</v>
      </c>
      <c r="U114" s="9" t="s">
        <v>131</v>
      </c>
      <c r="V114" s="9" t="s">
        <v>481</v>
      </c>
      <c r="W114" s="9" t="s">
        <v>131</v>
      </c>
      <c r="X114" s="13" t="s">
        <v>480</v>
      </c>
      <c r="Z114" s="1" t="s">
        <v>216</v>
      </c>
      <c r="AA114" s="1" t="s">
        <v>217</v>
      </c>
      <c r="AB114" s="2">
        <v>10118.030000000001</v>
      </c>
      <c r="AD114" s="1" t="s">
        <v>232</v>
      </c>
      <c r="AE114" s="1" t="s">
        <v>233</v>
      </c>
      <c r="AF114" s="2">
        <v>34813.49</v>
      </c>
      <c r="AH114" s="1" t="s">
        <v>238</v>
      </c>
      <c r="AI114" s="1" t="s">
        <v>239</v>
      </c>
      <c r="AJ114" s="2">
        <v>21204.21</v>
      </c>
      <c r="AL114" s="1" t="s">
        <v>246</v>
      </c>
      <c r="AM114" s="1" t="s">
        <v>247</v>
      </c>
      <c r="AN114" s="2">
        <v>10949.65</v>
      </c>
      <c r="AP114" s="1" t="s">
        <v>258</v>
      </c>
      <c r="AQ114" s="1" t="s">
        <v>259</v>
      </c>
      <c r="AR114" s="2">
        <v>25350.92</v>
      </c>
      <c r="AS114" s="1" t="s">
        <v>259</v>
      </c>
      <c r="AT114" s="2">
        <v>131519.34999999998</v>
      </c>
    </row>
    <row r="115" spans="1:46" ht="20.25" customHeight="1" x14ac:dyDescent="0.3">
      <c r="A115" s="42">
        <v>110</v>
      </c>
      <c r="B115" s="26" t="s">
        <v>208</v>
      </c>
      <c r="C115" s="26" t="s">
        <v>209</v>
      </c>
      <c r="D115" s="34" t="str">
        <f t="shared" si="49"/>
        <v>P-222/2021 PRIO Amatas novada pašvaldības Drabešu ciema grants ceļu (Drabeši - Lāčkalni, Drabeši -Vējdzirnavas) posmu pārbūve un atjaunošana</v>
      </c>
      <c r="E115" s="34" t="str">
        <f t="shared" si="50"/>
        <v>21.06.2021</v>
      </c>
      <c r="F115" s="27">
        <v>48220</v>
      </c>
      <c r="G115" s="36">
        <f t="shared" si="46"/>
        <v>53730.520000000004</v>
      </c>
      <c r="H115" s="36">
        <f t="shared" si="51"/>
        <v>52121.9</v>
      </c>
      <c r="I115" s="36">
        <f t="shared" si="52"/>
        <v>42108</v>
      </c>
      <c r="J115" s="36">
        <f t="shared" si="53"/>
        <v>48967.360000000001</v>
      </c>
      <c r="K115" s="36">
        <f t="shared" si="54"/>
        <v>47399.82</v>
      </c>
      <c r="L115" s="37">
        <f t="shared" si="41"/>
        <v>45868.805813999999</v>
      </c>
      <c r="M115" s="36">
        <f>VLOOKUP($C115,$AS:$AT,2,0)-45869</f>
        <v>65772.820000000007</v>
      </c>
      <c r="N115" s="38">
        <f t="shared" si="38"/>
        <v>404189.22581400006</v>
      </c>
      <c r="Q115" t="str">
        <f t="shared" si="47"/>
        <v>P-222/2021 PRIO Amatas novada pašvaldības Drabešu ciema grants ceļu (Drabeši - Lāčkalni, Drabeši -Vējdzirnavas) posmu pārbūve un atjaunošana</v>
      </c>
      <c r="R115" t="str">
        <f t="shared" si="48"/>
        <v>21.06.2021</v>
      </c>
      <c r="U115" s="9" t="s">
        <v>105</v>
      </c>
      <c r="V115" s="9" t="s">
        <v>482</v>
      </c>
      <c r="W115" s="9" t="s">
        <v>105</v>
      </c>
      <c r="X115" s="13" t="s">
        <v>483</v>
      </c>
      <c r="Z115" s="1" t="s">
        <v>218</v>
      </c>
      <c r="AA115" s="1" t="s">
        <v>219</v>
      </c>
      <c r="AB115" s="2">
        <v>10916.91</v>
      </c>
      <c r="AD115" s="1" t="s">
        <v>234</v>
      </c>
      <c r="AE115" s="1" t="s">
        <v>235</v>
      </c>
      <c r="AF115" s="2">
        <v>21105.96</v>
      </c>
      <c r="AH115" s="1" t="s">
        <v>240</v>
      </c>
      <c r="AI115" s="1" t="s">
        <v>241</v>
      </c>
      <c r="AJ115" s="2">
        <v>75072.73</v>
      </c>
      <c r="AL115" s="1" t="s">
        <v>248</v>
      </c>
      <c r="AM115" s="1" t="s">
        <v>249</v>
      </c>
      <c r="AN115" s="2">
        <v>25528.82</v>
      </c>
    </row>
    <row r="116" spans="1:46" ht="20.25" customHeight="1" x14ac:dyDescent="0.3">
      <c r="A116" s="42">
        <v>111</v>
      </c>
      <c r="B116" s="26" t="s">
        <v>210</v>
      </c>
      <c r="C116" s="26" t="s">
        <v>211</v>
      </c>
      <c r="D116" s="34" t="str">
        <f t="shared" si="49"/>
        <v>P-221/2021 COVID VARAM Amatas novada pašvaldības autoceļu atjaunošana</v>
      </c>
      <c r="E116" s="34" t="str">
        <f t="shared" si="50"/>
        <v>21.06.2021</v>
      </c>
      <c r="F116" s="27">
        <v>33305</v>
      </c>
      <c r="G116" s="36">
        <f t="shared" si="46"/>
        <v>37111.68</v>
      </c>
      <c r="H116" s="36">
        <f t="shared" si="51"/>
        <v>36000.61</v>
      </c>
      <c r="I116" s="36">
        <f t="shared" si="52"/>
        <v>34912.660000000003</v>
      </c>
      <c r="J116" s="36">
        <f t="shared" si="53"/>
        <v>33821.75</v>
      </c>
      <c r="K116" s="36">
        <f t="shared" si="54"/>
        <v>32739.040000000001</v>
      </c>
      <c r="L116" s="37">
        <f t="shared" si="41"/>
        <v>31681.569008000002</v>
      </c>
      <c r="M116" s="36">
        <f>VLOOKUP($C116,$AS:$AT,2,0)-31682</f>
        <v>45429.010000000009</v>
      </c>
      <c r="N116" s="38">
        <f t="shared" si="38"/>
        <v>285001.31900800002</v>
      </c>
      <c r="Q116" t="str">
        <f t="shared" si="47"/>
        <v>P-221/2021 COVID VARAM Amatas novada pašvaldības autoceļu atjaunošana</v>
      </c>
      <c r="R116" t="str">
        <f t="shared" si="48"/>
        <v>21.06.2021</v>
      </c>
      <c r="U116" s="9" t="s">
        <v>107</v>
      </c>
      <c r="V116" s="9" t="s">
        <v>484</v>
      </c>
      <c r="W116" s="9" t="s">
        <v>107</v>
      </c>
      <c r="X116" s="13" t="s">
        <v>483</v>
      </c>
      <c r="Z116" s="1" t="s">
        <v>220</v>
      </c>
      <c r="AA116" s="1" t="s">
        <v>221</v>
      </c>
      <c r="AB116" s="2">
        <v>19037.66</v>
      </c>
      <c r="AD116" s="1" t="s">
        <v>236</v>
      </c>
      <c r="AE116" s="1" t="s">
        <v>237</v>
      </c>
      <c r="AF116" s="2">
        <v>73889.33</v>
      </c>
      <c r="AH116" s="1" t="s">
        <v>242</v>
      </c>
      <c r="AI116" s="1" t="s">
        <v>243</v>
      </c>
      <c r="AJ116" s="2">
        <v>25539.72</v>
      </c>
      <c r="AL116" s="1" t="s">
        <v>250</v>
      </c>
      <c r="AM116" s="1" t="s">
        <v>251</v>
      </c>
      <c r="AN116" s="2">
        <v>20075.32</v>
      </c>
    </row>
    <row r="117" spans="1:46" ht="20.25" customHeight="1" x14ac:dyDescent="0.3">
      <c r="A117" s="42">
        <v>112</v>
      </c>
      <c r="B117" s="26" t="s">
        <v>212</v>
      </c>
      <c r="C117" s="26" t="s">
        <v>213</v>
      </c>
      <c r="D117" s="34" t="str">
        <f t="shared" si="49"/>
        <v>P-205/2021 Ieguldījumam pašvaldības SIA "Cēsu klīnika"pamatkapitālā ERAF projekta (Nr.4.2.2.0/20/I/005) "Cēsu klīnikas diagnostikas korpusa energoef.uzlabošana" īstenošanai</v>
      </c>
      <c r="E117" s="34" t="str">
        <f t="shared" si="50"/>
        <v>22.06.2021</v>
      </c>
      <c r="F117" s="27">
        <v>33817</v>
      </c>
      <c r="G117" s="36">
        <f t="shared" si="46"/>
        <v>38690.32</v>
      </c>
      <c r="H117" s="36">
        <f t="shared" si="51"/>
        <v>37583.74</v>
      </c>
      <c r="I117" s="36">
        <f t="shared" si="52"/>
        <v>36505.99</v>
      </c>
      <c r="J117" s="36">
        <f t="shared" si="53"/>
        <v>35425.29</v>
      </c>
      <c r="K117" s="36">
        <f t="shared" si="54"/>
        <v>34358.639999999999</v>
      </c>
      <c r="L117" s="37">
        <f t="shared" si="41"/>
        <v>33248.855927999997</v>
      </c>
      <c r="M117" s="36">
        <f>VLOOKUP($C117,$AS:$AT,2,0)-33249</f>
        <v>107996.02000000002</v>
      </c>
      <c r="N117" s="38">
        <f t="shared" si="38"/>
        <v>357625.855928</v>
      </c>
      <c r="Q117" t="str">
        <f t="shared" si="47"/>
        <v>P-205/2021 Ieguldījumam pašvaldības SIA "Cēsu klīnika"pamatkapitālā ERAF projekta (Nr.4.2.2.0/20/I/005) "Cēsu klīnikas diagnostikas korpusa energoef.uzlabošana" īstenošanai</v>
      </c>
      <c r="R117" t="str">
        <f t="shared" si="48"/>
        <v>22.06.2021</v>
      </c>
      <c r="U117" s="8" t="s">
        <v>229</v>
      </c>
      <c r="V117" s="8" t="s">
        <v>485</v>
      </c>
      <c r="W117" s="8" t="s">
        <v>229</v>
      </c>
      <c r="X117" s="14" t="s">
        <v>486</v>
      </c>
      <c r="Z117" s="1" t="s">
        <v>222</v>
      </c>
      <c r="AA117" s="1" t="s">
        <v>223</v>
      </c>
      <c r="AB117" s="2">
        <v>495058.52</v>
      </c>
      <c r="AD117" s="1" t="s">
        <v>238</v>
      </c>
      <c r="AE117" s="1" t="s">
        <v>239</v>
      </c>
      <c r="AF117" s="2">
        <v>21853.73</v>
      </c>
      <c r="AH117" s="1" t="s">
        <v>244</v>
      </c>
      <c r="AI117" s="1" t="s">
        <v>245</v>
      </c>
      <c r="AJ117" s="2">
        <v>28957.279999999999</v>
      </c>
      <c r="AL117" s="1" t="s">
        <v>252</v>
      </c>
      <c r="AM117" s="1" t="s">
        <v>253</v>
      </c>
      <c r="AN117" s="2">
        <v>29199.56</v>
      </c>
    </row>
    <row r="118" spans="1:46" ht="20.25" customHeight="1" x14ac:dyDescent="0.3">
      <c r="A118" s="42">
        <v>113</v>
      </c>
      <c r="B118" s="26" t="s">
        <v>214</v>
      </c>
      <c r="C118" s="26" t="s">
        <v>215</v>
      </c>
      <c r="D118" s="28" t="s">
        <v>452</v>
      </c>
      <c r="E118" s="29" t="s">
        <v>453</v>
      </c>
      <c r="F118" s="27">
        <v>33510</v>
      </c>
      <c r="G118" s="36">
        <f t="shared" si="46"/>
        <v>40450.119999999995</v>
      </c>
      <c r="H118" s="36">
        <f t="shared" si="51"/>
        <v>39365.64</v>
      </c>
      <c r="I118" s="36">
        <f t="shared" si="52"/>
        <v>38317.47</v>
      </c>
      <c r="J118" s="36">
        <f t="shared" si="53"/>
        <v>37266.449999999997</v>
      </c>
      <c r="K118" s="36">
        <f t="shared" si="54"/>
        <v>36237.32</v>
      </c>
      <c r="L118" s="37">
        <f t="shared" si="41"/>
        <v>35066.854564000001</v>
      </c>
      <c r="M118" s="36">
        <f>VLOOKUP($C118,$AS:$AT,2,0)-35067</f>
        <v>199482.45</v>
      </c>
      <c r="N118" s="38">
        <f t="shared" si="38"/>
        <v>459696.30456399999</v>
      </c>
      <c r="Q118" t="e">
        <f t="shared" si="47"/>
        <v>#N/A</v>
      </c>
      <c r="R118" t="e">
        <f t="shared" si="48"/>
        <v>#N/A</v>
      </c>
      <c r="U118" s="9" t="s">
        <v>17</v>
      </c>
      <c r="V118" s="9" t="s">
        <v>487</v>
      </c>
      <c r="W118" s="9" t="s">
        <v>17</v>
      </c>
      <c r="X118" s="13" t="s">
        <v>374</v>
      </c>
      <c r="Z118" s="1" t="s">
        <v>224</v>
      </c>
      <c r="AA118" s="1" t="s">
        <v>225</v>
      </c>
      <c r="AB118" s="2">
        <v>40685.18</v>
      </c>
      <c r="AD118" s="1" t="s">
        <v>240</v>
      </c>
      <c r="AE118" s="1" t="s">
        <v>241</v>
      </c>
      <c r="AF118" s="2">
        <v>77167.72</v>
      </c>
      <c r="AH118" s="1" t="s">
        <v>246</v>
      </c>
      <c r="AI118" s="1" t="s">
        <v>247</v>
      </c>
      <c r="AJ118" s="2">
        <v>11324.1</v>
      </c>
      <c r="AL118" s="1" t="s">
        <v>254</v>
      </c>
      <c r="AM118" s="1" t="s">
        <v>255</v>
      </c>
      <c r="AN118" s="2">
        <v>33909.24</v>
      </c>
    </row>
    <row r="119" spans="1:46" ht="20.25" customHeight="1" x14ac:dyDescent="0.3">
      <c r="A119" s="42">
        <v>114</v>
      </c>
      <c r="B119" s="26" t="s">
        <v>216</v>
      </c>
      <c r="C119" s="26" t="s">
        <v>217</v>
      </c>
      <c r="D119" s="34" t="str">
        <f t="shared" ref="D119:D134" si="55">VLOOKUP($C119,$U:$X,2,0)</f>
        <v>Informācijas un komunikācijas tehnoloģiju infrastruktūras pilnveide un e-pakalpojumu nodrošināšana (Priekuļi)</v>
      </c>
      <c r="E119" s="34" t="str">
        <f t="shared" ref="E119:E134" si="56">VLOOKUP($C119,$W:$X,2,0)</f>
        <v>16.07.2021.</v>
      </c>
      <c r="F119" s="27">
        <v>20247</v>
      </c>
      <c r="G119" s="36">
        <f t="shared" si="46"/>
        <v>10118.030000000001</v>
      </c>
      <c r="H119" s="36">
        <v>0</v>
      </c>
      <c r="I119" s="36">
        <v>0</v>
      </c>
      <c r="J119" s="36">
        <v>0</v>
      </c>
      <c r="K119" s="36">
        <v>0</v>
      </c>
      <c r="L119" s="37">
        <f t="shared" si="41"/>
        <v>0</v>
      </c>
      <c r="M119" s="36">
        <v>0</v>
      </c>
      <c r="N119" s="38">
        <f t="shared" si="38"/>
        <v>30365.03</v>
      </c>
      <c r="Q119" t="str">
        <f t="shared" si="47"/>
        <v>Informācijas un komunikācijas tehnoloģiju infrastruktūras pilnveide un e-pakalpojumu nodrošināšana (Priekuļi)</v>
      </c>
      <c r="R119" t="str">
        <f t="shared" si="48"/>
        <v>16.07.2021.</v>
      </c>
      <c r="U119" s="9" t="s">
        <v>15</v>
      </c>
      <c r="V119" s="9" t="s">
        <v>488</v>
      </c>
      <c r="W119" s="9" t="s">
        <v>15</v>
      </c>
      <c r="X119" s="13" t="s">
        <v>374</v>
      </c>
      <c r="Z119" s="1" t="s">
        <v>226</v>
      </c>
      <c r="AA119" s="1" t="s">
        <v>227</v>
      </c>
      <c r="AB119" s="2">
        <v>29244.42</v>
      </c>
      <c r="AD119" s="1" t="s">
        <v>242</v>
      </c>
      <c r="AE119" s="1" t="s">
        <v>243</v>
      </c>
      <c r="AF119" s="2">
        <v>26396.36</v>
      </c>
      <c r="AH119" s="1" t="s">
        <v>248</v>
      </c>
      <c r="AI119" s="1" t="s">
        <v>249</v>
      </c>
      <c r="AJ119" s="2">
        <v>26400.52</v>
      </c>
      <c r="AL119" s="1" t="s">
        <v>256</v>
      </c>
      <c r="AM119" s="1" t="s">
        <v>257</v>
      </c>
      <c r="AN119" s="2">
        <v>23884.79</v>
      </c>
    </row>
    <row r="120" spans="1:46" ht="20.25" customHeight="1" x14ac:dyDescent="0.3">
      <c r="A120" s="42">
        <v>115</v>
      </c>
      <c r="B120" s="26" t="s">
        <v>218</v>
      </c>
      <c r="C120" s="26" t="s">
        <v>219</v>
      </c>
      <c r="D120" s="34" t="str">
        <f t="shared" si="55"/>
        <v xml:space="preserve">C-19 "Vecpiebalgas vidusskolas stadiona pārbūve" </v>
      </c>
      <c r="E120" s="34" t="str">
        <f t="shared" si="56"/>
        <v>16.07.2021.</v>
      </c>
      <c r="F120" s="27">
        <v>9671</v>
      </c>
      <c r="G120" s="36">
        <f t="shared" si="46"/>
        <v>10916.91</v>
      </c>
      <c r="H120" s="36">
        <f>VLOOKUP(C120,$AE:$AF,2,0)</f>
        <v>10591.84</v>
      </c>
      <c r="I120" s="36">
        <f>VLOOKUP($C120,$AI:$AJ,2,0)</f>
        <v>10273.49</v>
      </c>
      <c r="J120" s="36">
        <f>VLOOKUP($C120,$AM:$AN,2,0)</f>
        <v>9954.2900000000009</v>
      </c>
      <c r="K120" s="36">
        <f>VLOOKUP($C120,$AQ:$AR,2,0)</f>
        <v>9637.48</v>
      </c>
      <c r="L120" s="37">
        <f t="shared" si="41"/>
        <v>9326.1893959999998</v>
      </c>
      <c r="M120" s="36">
        <f>VLOOKUP($C120,$AS:$AT,2,0)-9326</f>
        <v>13381.75</v>
      </c>
      <c r="N120" s="38">
        <f t="shared" si="38"/>
        <v>83752.949395999996</v>
      </c>
      <c r="Q120" t="str">
        <f t="shared" si="47"/>
        <v xml:space="preserve">C-19 "Vecpiebalgas vidusskolas stadiona pārbūve" </v>
      </c>
      <c r="R120" t="str">
        <f t="shared" si="48"/>
        <v>16.07.2021.</v>
      </c>
      <c r="U120" s="9" t="s">
        <v>189</v>
      </c>
      <c r="V120" s="9" t="s">
        <v>489</v>
      </c>
      <c r="W120" s="9" t="s">
        <v>189</v>
      </c>
      <c r="X120" s="13" t="s">
        <v>349</v>
      </c>
      <c r="Z120" s="1" t="s">
        <v>228</v>
      </c>
      <c r="AA120" s="1" t="s">
        <v>229</v>
      </c>
      <c r="AB120" s="2">
        <v>25662.57</v>
      </c>
      <c r="AD120" s="1" t="s">
        <v>244</v>
      </c>
      <c r="AE120" s="1" t="s">
        <v>245</v>
      </c>
      <c r="AF120" s="2">
        <v>17591.47</v>
      </c>
      <c r="AH120" s="1" t="s">
        <v>250</v>
      </c>
      <c r="AI120" s="1" t="s">
        <v>251</v>
      </c>
      <c r="AJ120" s="2">
        <v>20760.809999999998</v>
      </c>
      <c r="AL120" s="1" t="s">
        <v>258</v>
      </c>
      <c r="AM120" s="1" t="s">
        <v>259</v>
      </c>
      <c r="AN120" s="2">
        <v>26311.07</v>
      </c>
    </row>
    <row r="121" spans="1:46" ht="20.25" customHeight="1" x14ac:dyDescent="0.3">
      <c r="A121" s="42">
        <v>116</v>
      </c>
      <c r="B121" s="26" t="s">
        <v>220</v>
      </c>
      <c r="C121" s="26" t="s">
        <v>221</v>
      </c>
      <c r="D121" s="34" t="str">
        <f t="shared" si="55"/>
        <v>Ielu seguma atjaunošana Cēsīs</v>
      </c>
      <c r="E121" s="34" t="str">
        <f t="shared" si="56"/>
        <v>30.07.2021.</v>
      </c>
      <c r="F121" s="27">
        <v>16152</v>
      </c>
      <c r="G121" s="36">
        <f t="shared" si="46"/>
        <v>19037.66</v>
      </c>
      <c r="H121" s="36">
        <f>VLOOKUP(C121,$AE:$AF,2,0)</f>
        <v>18481.02</v>
      </c>
      <c r="I121" s="36">
        <f>VLOOKUP($C121,$AI:$AJ,2,0)</f>
        <v>17938.53</v>
      </c>
      <c r="J121" s="36">
        <f>VLOOKUP($C121,$AM:$AN,2,0)</f>
        <v>17394.510000000002</v>
      </c>
      <c r="K121" s="36">
        <f>VLOOKUP($C121,$AQ:$AR,2,0)</f>
        <v>16857.2</v>
      </c>
      <c r="L121" s="37">
        <f t="shared" si="41"/>
        <v>16312.712440000001</v>
      </c>
      <c r="M121" s="36">
        <f>VLOOKUP($C121,$AS:$AT,2,0)-16313</f>
        <v>49178.680000000008</v>
      </c>
      <c r="N121" s="38">
        <f t="shared" si="38"/>
        <v>171352.31244000001</v>
      </c>
      <c r="Q121" t="str">
        <f t="shared" si="47"/>
        <v>Ielu seguma atjaunošana Cēsīs</v>
      </c>
      <c r="R121" t="str">
        <f t="shared" si="48"/>
        <v>30.07.2021.</v>
      </c>
      <c r="U121" s="9" t="s">
        <v>197</v>
      </c>
      <c r="V121" s="9" t="s">
        <v>490</v>
      </c>
      <c r="W121" s="9" t="s">
        <v>197</v>
      </c>
      <c r="X121" s="13" t="s">
        <v>491</v>
      </c>
      <c r="Z121" s="1" t="s">
        <v>230</v>
      </c>
      <c r="AA121" s="1" t="s">
        <v>231</v>
      </c>
      <c r="AB121" s="2">
        <v>44710.26</v>
      </c>
      <c r="AD121" s="1" t="s">
        <v>246</v>
      </c>
      <c r="AE121" s="1" t="s">
        <v>247</v>
      </c>
      <c r="AF121" s="2">
        <v>11697.52</v>
      </c>
      <c r="AH121" s="1" t="s">
        <v>252</v>
      </c>
      <c r="AI121" s="1" t="s">
        <v>253</v>
      </c>
      <c r="AJ121" s="2">
        <v>30244.94</v>
      </c>
    </row>
    <row r="122" spans="1:46" ht="20.25" customHeight="1" x14ac:dyDescent="0.3">
      <c r="A122" s="42">
        <v>117</v>
      </c>
      <c r="B122" s="26" t="s">
        <v>222</v>
      </c>
      <c r="C122" s="26" t="s">
        <v>223</v>
      </c>
      <c r="D122" s="34" t="str">
        <f t="shared" si="55"/>
        <v>Enerģētiski pašpietiekamas ēkas būvniecība Cēsīs, nākotnes tehnoloģiju zinātnes centra vajadzībām (Cēsis)</v>
      </c>
      <c r="E122" s="34" t="str">
        <f t="shared" si="56"/>
        <v>30.07.2021</v>
      </c>
      <c r="F122" s="27">
        <v>355004</v>
      </c>
      <c r="G122" s="36">
        <f t="shared" si="46"/>
        <v>495058.52</v>
      </c>
      <c r="H122" s="36">
        <f>VLOOKUP(C122,$AE:$AF,2,0)</f>
        <v>484034.02</v>
      </c>
      <c r="I122" s="36">
        <f>VLOOKUP($C122,$AI:$AJ,2,0)</f>
        <v>473691.3</v>
      </c>
      <c r="J122" s="36">
        <f>VLOOKUP($C122,$AM:$AN,2,0)</f>
        <v>463320.22</v>
      </c>
      <c r="K122" s="36">
        <f>VLOOKUP($C122,$AQ:$AR,2,0)</f>
        <v>453488.94</v>
      </c>
      <c r="L122" s="37">
        <f t="shared" si="41"/>
        <v>438841.24723799998</v>
      </c>
      <c r="M122" s="36">
        <f>VLOOKUP($C122,$AS:$AT,2,0)-438841</f>
        <v>6149047.54</v>
      </c>
      <c r="N122" s="38">
        <f t="shared" si="38"/>
        <v>9312485.787238</v>
      </c>
      <c r="Q122" t="str">
        <f t="shared" si="47"/>
        <v>Enerģētiski pašpietiekamas ēkas būvniecība Cēsīs, nākotnes tehnoloģiju zinātnes centra vajadzībām (Cēsis)</v>
      </c>
      <c r="R122" t="str">
        <f t="shared" si="48"/>
        <v>30.07.2021</v>
      </c>
      <c r="U122" s="8" t="s">
        <v>217</v>
      </c>
      <c r="V122" s="9" t="s">
        <v>492</v>
      </c>
      <c r="W122" s="8" t="s">
        <v>217</v>
      </c>
      <c r="X122" s="13" t="s">
        <v>493</v>
      </c>
      <c r="Z122" s="1" t="s">
        <v>232</v>
      </c>
      <c r="AA122" s="1" t="s">
        <v>233</v>
      </c>
      <c r="AB122" s="2">
        <v>35726.75</v>
      </c>
      <c r="AD122" s="1" t="s">
        <v>248</v>
      </c>
      <c r="AE122" s="1" t="s">
        <v>249</v>
      </c>
      <c r="AF122" s="2">
        <v>27269.83</v>
      </c>
      <c r="AH122" s="1" t="s">
        <v>254</v>
      </c>
      <c r="AI122" s="1" t="s">
        <v>255</v>
      </c>
      <c r="AJ122" s="2">
        <v>35060.29</v>
      </c>
    </row>
    <row r="123" spans="1:46" ht="20.25" customHeight="1" x14ac:dyDescent="0.3">
      <c r="A123" s="42">
        <v>118</v>
      </c>
      <c r="B123" s="26" t="s">
        <v>224</v>
      </c>
      <c r="C123" s="26" t="s">
        <v>225</v>
      </c>
      <c r="D123" s="34" t="str">
        <f t="shared" si="55"/>
        <v>Cēsu novada vispārējās izglītības iestāžu modernizācija</v>
      </c>
      <c r="E123" s="34" t="str">
        <f t="shared" si="56"/>
        <v>30.07.2021.</v>
      </c>
      <c r="F123" s="27">
        <v>32324</v>
      </c>
      <c r="G123" s="36">
        <f t="shared" si="46"/>
        <v>40685.18</v>
      </c>
      <c r="H123" s="36">
        <f>VLOOKUP(C123,$AE:$AF,2,0)</f>
        <v>39596.410000000003</v>
      </c>
      <c r="I123" s="36">
        <f>VLOOKUP($C123,$AI:$AJ,2,0)</f>
        <v>38548.65</v>
      </c>
      <c r="J123" s="36">
        <f>VLOOKUP($C123,$AM:$AN,2,0)</f>
        <v>37498.009999999995</v>
      </c>
      <c r="K123" s="36">
        <f>VLOOKUP($C123,$AQ:$AR,2,0)</f>
        <v>36473.97</v>
      </c>
      <c r="L123" s="37">
        <f t="shared" si="41"/>
        <v>35295.860768999999</v>
      </c>
      <c r="M123" s="36">
        <f>VLOOKUP($C123,$AS:$AT,2,0)-35296</f>
        <v>245723.12</v>
      </c>
      <c r="N123" s="38">
        <f t="shared" si="38"/>
        <v>506145.20076899999</v>
      </c>
      <c r="Q123" t="str">
        <f t="shared" si="47"/>
        <v>Cēsu novada vispārējās izglītības iestāžu modernizācija</v>
      </c>
      <c r="R123" t="str">
        <f t="shared" si="48"/>
        <v>30.07.2021.</v>
      </c>
      <c r="U123" s="9" t="s">
        <v>227</v>
      </c>
      <c r="V123" s="9" t="s">
        <v>494</v>
      </c>
      <c r="W123" s="9" t="s">
        <v>227</v>
      </c>
      <c r="X123" s="13" t="s">
        <v>495</v>
      </c>
      <c r="Z123" s="1" t="s">
        <v>234</v>
      </c>
      <c r="AA123" s="1" t="s">
        <v>235</v>
      </c>
      <c r="AB123" s="2">
        <v>21569.13</v>
      </c>
      <c r="AD123" s="1" t="s">
        <v>250</v>
      </c>
      <c r="AE123" s="1" t="s">
        <v>251</v>
      </c>
      <c r="AF123" s="2">
        <v>21444.43</v>
      </c>
      <c r="AH123" s="1" t="s">
        <v>256</v>
      </c>
      <c r="AI123" s="1" t="s">
        <v>257</v>
      </c>
      <c r="AJ123" s="2">
        <v>24771.57</v>
      </c>
    </row>
    <row r="124" spans="1:46" ht="20.25" customHeight="1" x14ac:dyDescent="0.3">
      <c r="A124" s="42">
        <v>119</v>
      </c>
      <c r="B124" s="26" t="s">
        <v>226</v>
      </c>
      <c r="C124" s="26" t="s">
        <v>227</v>
      </c>
      <c r="D124" s="34" t="str">
        <f t="shared" si="55"/>
        <v>C-19 "Pašvaldības transporta infrastruktūras ( ielas) attīstībai (Priekuļi)</v>
      </c>
      <c r="E124" s="34" t="str">
        <f t="shared" si="56"/>
        <v>04.08.2021.</v>
      </c>
      <c r="F124" s="27">
        <v>63497</v>
      </c>
      <c r="G124" s="36">
        <f t="shared" si="46"/>
        <v>29244.42</v>
      </c>
      <c r="H124" s="36">
        <v>0</v>
      </c>
      <c r="I124" s="36">
        <v>0</v>
      </c>
      <c r="J124" s="36">
        <v>0</v>
      </c>
      <c r="K124" s="36">
        <v>0</v>
      </c>
      <c r="L124" s="37">
        <f t="shared" si="41"/>
        <v>0</v>
      </c>
      <c r="M124" s="36">
        <v>0</v>
      </c>
      <c r="N124" s="38">
        <f t="shared" si="38"/>
        <v>92741.42</v>
      </c>
      <c r="Q124" t="str">
        <f t="shared" si="47"/>
        <v>C-19 "Pašvaldības transporta infrastruktūras ( ielas) attīstībai (Priekuļi)</v>
      </c>
      <c r="R124" t="str">
        <f t="shared" si="48"/>
        <v>04.08.2021.</v>
      </c>
      <c r="U124" s="9" t="s">
        <v>27</v>
      </c>
      <c r="V124" s="9" t="s">
        <v>496</v>
      </c>
      <c r="W124" s="9" t="s">
        <v>27</v>
      </c>
      <c r="X124" s="13" t="s">
        <v>497</v>
      </c>
      <c r="Z124" s="1" t="s">
        <v>236</v>
      </c>
      <c r="AA124" s="1" t="s">
        <v>237</v>
      </c>
      <c r="AB124" s="2">
        <v>75256.990000000005</v>
      </c>
      <c r="AD124" s="1" t="s">
        <v>252</v>
      </c>
      <c r="AE124" s="1" t="s">
        <v>253</v>
      </c>
      <c r="AF124" s="2">
        <v>31287.449999999997</v>
      </c>
      <c r="AH124" s="1" t="s">
        <v>258</v>
      </c>
      <c r="AI124" s="1" t="s">
        <v>259</v>
      </c>
      <c r="AJ124" s="2">
        <v>27287.93</v>
      </c>
    </row>
    <row r="125" spans="1:46" ht="20.25" customHeight="1" x14ac:dyDescent="0.3">
      <c r="A125" s="42">
        <v>120</v>
      </c>
      <c r="B125" s="26" t="s">
        <v>228</v>
      </c>
      <c r="C125" s="26" t="s">
        <v>229</v>
      </c>
      <c r="D125" s="34" t="str">
        <f t="shared" si="55"/>
        <v>Pārgaujas novada pašvaldības autoceļu atjaunošana</v>
      </c>
      <c r="E125" s="34" t="str">
        <f t="shared" si="56"/>
        <v>08.09.2021</v>
      </c>
      <c r="F125" s="27">
        <v>22604</v>
      </c>
      <c r="G125" s="36">
        <f t="shared" si="46"/>
        <v>25662.57</v>
      </c>
      <c r="H125" s="36">
        <f t="shared" ref="H125:H140" si="57">VLOOKUP(C125,$AE:$AF,2,0)</f>
        <v>24906.95</v>
      </c>
      <c r="I125" s="36">
        <f t="shared" ref="I125:I140" si="58">VLOOKUP($C125,$AI:$AJ,2,0)</f>
        <v>24170.440000000002</v>
      </c>
      <c r="J125" s="36">
        <f t="shared" ref="J125:J140" si="59">VLOOKUP($C125,$AM:$AN,2,0)</f>
        <v>23431.919999999998</v>
      </c>
      <c r="K125" s="36">
        <f t="shared" ref="K125:K140" si="60">VLOOKUP($C125,$AQ:$AR,2,0)</f>
        <v>22702.43</v>
      </c>
      <c r="L125" s="37">
        <f t="shared" si="41"/>
        <v>21969.141511000002</v>
      </c>
      <c r="M125" s="36">
        <f>VLOOKUP($C125,$AS:$AT,2,0)-21969</f>
        <v>65689.260000000009</v>
      </c>
      <c r="N125" s="38">
        <f t="shared" si="38"/>
        <v>231136.711511</v>
      </c>
      <c r="Q125" t="str">
        <f t="shared" si="47"/>
        <v>Pārgaujas novada pašvaldības autoceļu atjaunošana</v>
      </c>
      <c r="R125" t="str">
        <f t="shared" si="48"/>
        <v>08.09.2021</v>
      </c>
      <c r="U125" s="9" t="s">
        <v>25</v>
      </c>
      <c r="V125" s="9" t="s">
        <v>498</v>
      </c>
      <c r="W125" s="9" t="s">
        <v>25</v>
      </c>
      <c r="X125" s="13" t="s">
        <v>499</v>
      </c>
      <c r="Z125" s="1" t="s">
        <v>238</v>
      </c>
      <c r="AA125" s="1" t="s">
        <v>239</v>
      </c>
      <c r="AB125" s="2">
        <v>22390.370000000003</v>
      </c>
      <c r="AD125" s="1" t="s">
        <v>254</v>
      </c>
      <c r="AE125" s="1" t="s">
        <v>255</v>
      </c>
      <c r="AF125" s="2">
        <v>36192.29</v>
      </c>
    </row>
    <row r="126" spans="1:46" ht="20.25" customHeight="1" x14ac:dyDescent="0.3">
      <c r="A126" s="42">
        <v>121</v>
      </c>
      <c r="B126" s="26" t="s">
        <v>230</v>
      </c>
      <c r="C126" s="26" t="s">
        <v>231</v>
      </c>
      <c r="D126" s="34" t="str">
        <f t="shared" si="55"/>
        <v>Alauksta ielas pārbūve (km0.545)"</v>
      </c>
      <c r="E126" s="34" t="str">
        <f t="shared" si="56"/>
        <v>02.11.2021.</v>
      </c>
      <c r="F126" s="27">
        <v>24657.46</v>
      </c>
      <c r="G126" s="36">
        <f t="shared" si="46"/>
        <v>44710.26</v>
      </c>
      <c r="H126" s="36">
        <f t="shared" si="57"/>
        <v>43750.14</v>
      </c>
      <c r="I126" s="36">
        <f t="shared" si="58"/>
        <v>42604.11</v>
      </c>
      <c r="J126" s="36">
        <f t="shared" si="59"/>
        <v>41454.93</v>
      </c>
      <c r="K126" s="36">
        <f t="shared" si="60"/>
        <v>40331.72</v>
      </c>
      <c r="L126" s="37">
        <f t="shared" si="41"/>
        <v>39029.005444000002</v>
      </c>
      <c r="M126" s="36">
        <f>VLOOKUP($C126,$AS:$AT,2,0)-30029</f>
        <v>251097.77000000002</v>
      </c>
      <c r="N126" s="38">
        <f t="shared" si="38"/>
        <v>527635.39544400002</v>
      </c>
      <c r="Q126" t="str">
        <f t="shared" si="47"/>
        <v>Alauksta ielas pārbūve (km0.545)"</v>
      </c>
      <c r="R126" t="str">
        <f t="shared" si="48"/>
        <v>02.11.2021.</v>
      </c>
      <c r="U126" s="9" t="s">
        <v>31</v>
      </c>
      <c r="V126" s="9" t="s">
        <v>500</v>
      </c>
      <c r="W126" s="9" t="s">
        <v>31</v>
      </c>
      <c r="X126" s="13" t="s">
        <v>501</v>
      </c>
      <c r="Z126" s="1" t="s">
        <v>240</v>
      </c>
      <c r="AA126" s="1" t="s">
        <v>241</v>
      </c>
      <c r="AB126" s="2">
        <v>79123.679999999993</v>
      </c>
      <c r="AD126" s="1" t="s">
        <v>256</v>
      </c>
      <c r="AE126" s="1" t="s">
        <v>257</v>
      </c>
      <c r="AF126" s="2">
        <v>25649.48</v>
      </c>
    </row>
    <row r="127" spans="1:46" ht="20.25" customHeight="1" x14ac:dyDescent="0.3">
      <c r="A127" s="42">
        <v>122</v>
      </c>
      <c r="B127" s="26" t="s">
        <v>232</v>
      </c>
      <c r="C127" s="26" t="s">
        <v>233</v>
      </c>
      <c r="D127" s="34" t="str">
        <f t="shared" si="55"/>
        <v>Grants seguma ielu virsmu divkārtu apstrāde un ietvju izbūve un atjaunošana (Cēsis)</v>
      </c>
      <c r="E127" s="34" t="str">
        <f t="shared" si="56"/>
        <v>02.11.2021.</v>
      </c>
      <c r="F127" s="27">
        <v>33146</v>
      </c>
      <c r="G127" s="36">
        <f t="shared" si="46"/>
        <v>35726.75</v>
      </c>
      <c r="H127" s="36">
        <f t="shared" si="57"/>
        <v>34813.49</v>
      </c>
      <c r="I127" s="36">
        <f t="shared" si="58"/>
        <v>33789.29</v>
      </c>
      <c r="J127" s="36">
        <f t="shared" si="59"/>
        <v>32762.29</v>
      </c>
      <c r="K127" s="36">
        <f t="shared" si="60"/>
        <v>31745.63</v>
      </c>
      <c r="L127" s="37">
        <f t="shared" si="41"/>
        <v>30720.246150999999</v>
      </c>
      <c r="M127" s="36">
        <f>VLOOKUP($C127,$AS:$AT,2,0)-30720</f>
        <v>70706.76999999999</v>
      </c>
      <c r="N127" s="38">
        <f t="shared" si="38"/>
        <v>303410.466151</v>
      </c>
      <c r="Q127" t="str">
        <f t="shared" si="47"/>
        <v>Grants seguma ielu virsmu divkārtu apstrāde un ietvju izbūve un atjaunošana (Cēsis)</v>
      </c>
      <c r="R127" t="str">
        <f t="shared" si="48"/>
        <v>02.11.2021.</v>
      </c>
      <c r="U127" s="9" t="s">
        <v>147</v>
      </c>
      <c r="V127" s="9" t="s">
        <v>502</v>
      </c>
      <c r="W127" s="9" t="s">
        <v>147</v>
      </c>
      <c r="X127" s="13" t="s">
        <v>503</v>
      </c>
      <c r="Z127" s="1" t="s">
        <v>242</v>
      </c>
      <c r="AA127" s="1" t="s">
        <v>243</v>
      </c>
      <c r="AB127" s="2">
        <v>17605.98</v>
      </c>
      <c r="AD127" s="1" t="s">
        <v>258</v>
      </c>
      <c r="AE127" s="1" t="s">
        <v>259</v>
      </c>
      <c r="AF127" s="2">
        <v>28255.4</v>
      </c>
    </row>
    <row r="128" spans="1:46" ht="20.25" customHeight="1" x14ac:dyDescent="0.3">
      <c r="A128" s="42">
        <v>123</v>
      </c>
      <c r="B128" s="26" t="s">
        <v>234</v>
      </c>
      <c r="C128" s="26" t="s">
        <v>235</v>
      </c>
      <c r="D128" s="34" t="str">
        <f t="shared" si="55"/>
        <v>Vecpiebalgas vidusskolas infrastruktūras uzlabošana un materiāli tehniskās bāzes pilnveidošana"īstenošanai</v>
      </c>
      <c r="E128" s="34" t="str">
        <f t="shared" si="56"/>
        <v>02.11.2021.</v>
      </c>
      <c r="F128" s="27">
        <v>11856.95</v>
      </c>
      <c r="G128" s="36">
        <f t="shared" si="46"/>
        <v>21569.13</v>
      </c>
      <c r="H128" s="36">
        <f t="shared" si="57"/>
        <v>21105.96</v>
      </c>
      <c r="I128" s="36">
        <f t="shared" si="58"/>
        <v>20553.080000000002</v>
      </c>
      <c r="J128" s="36">
        <f t="shared" si="59"/>
        <v>19998.690000000002</v>
      </c>
      <c r="K128" s="36">
        <f t="shared" si="60"/>
        <v>19456.82</v>
      </c>
      <c r="L128" s="37">
        <f t="shared" si="41"/>
        <v>18828.364713999999</v>
      </c>
      <c r="M128" s="36">
        <f>VLOOKUP($C128,$AS:$AT,2,0)-18828</f>
        <v>116793.07999999999</v>
      </c>
      <c r="N128" s="38">
        <f t="shared" si="38"/>
        <v>250162.07471399999</v>
      </c>
      <c r="Q128" t="str">
        <f t="shared" si="47"/>
        <v>Vecpiebalgas vidusskolas infrastruktūras uzlabošana un materiāli tehniskās bāzes pilnveidošana"īstenošanai</v>
      </c>
      <c r="R128" t="str">
        <f t="shared" si="48"/>
        <v>02.11.2021.</v>
      </c>
      <c r="U128" s="9" t="s">
        <v>149</v>
      </c>
      <c r="V128" s="9" t="s">
        <v>504</v>
      </c>
      <c r="W128" s="9" t="s">
        <v>149</v>
      </c>
      <c r="X128" s="13" t="s">
        <v>505</v>
      </c>
      <c r="Z128" s="1" t="s">
        <v>244</v>
      </c>
      <c r="AA128" s="1" t="s">
        <v>245</v>
      </c>
      <c r="AB128" s="2">
        <v>5581.62</v>
      </c>
    </row>
    <row r="129" spans="1:28" ht="20.25" customHeight="1" x14ac:dyDescent="0.3">
      <c r="A129" s="42">
        <v>124</v>
      </c>
      <c r="B129" s="26" t="s">
        <v>236</v>
      </c>
      <c r="C129" s="26" t="s">
        <v>237</v>
      </c>
      <c r="D129" s="34" t="str">
        <f t="shared" si="55"/>
        <v>Gaujas ielas pārbūve Līgatnē, Cēsu novadā</v>
      </c>
      <c r="E129" s="34" t="str">
        <f t="shared" si="56"/>
        <v>04.11.2021.</v>
      </c>
      <c r="F129" s="27">
        <v>61426</v>
      </c>
      <c r="G129" s="36">
        <f t="shared" si="46"/>
        <v>75256.990000000005</v>
      </c>
      <c r="H129" s="36">
        <f t="shared" si="57"/>
        <v>73889.33</v>
      </c>
      <c r="I129" s="36">
        <f t="shared" si="58"/>
        <v>72153.63</v>
      </c>
      <c r="J129" s="36">
        <f t="shared" si="59"/>
        <v>70413.16</v>
      </c>
      <c r="K129" s="36">
        <f t="shared" si="60"/>
        <v>68735.83</v>
      </c>
      <c r="L129" s="37">
        <f t="shared" si="41"/>
        <v>66515.662691000005</v>
      </c>
      <c r="M129" s="36">
        <f>VLOOKUP($C129,$AS:$AT,2,0)-66516</f>
        <v>668041.44000000006</v>
      </c>
      <c r="N129" s="38">
        <f t="shared" si="38"/>
        <v>1156432.042691</v>
      </c>
      <c r="Q129" t="str">
        <f t="shared" si="47"/>
        <v>Gaujas ielas pārbūve Līgatnē, Cēsu novadā</v>
      </c>
      <c r="R129" t="str">
        <f t="shared" si="48"/>
        <v>04.11.2021.</v>
      </c>
      <c r="U129" s="9" t="s">
        <v>151</v>
      </c>
      <c r="V129" s="9" t="s">
        <v>506</v>
      </c>
      <c r="W129" s="9" t="s">
        <v>151</v>
      </c>
      <c r="X129" s="13" t="s">
        <v>507</v>
      </c>
      <c r="Z129" s="1" t="s">
        <v>246</v>
      </c>
      <c r="AA129" s="1" t="s">
        <v>247</v>
      </c>
      <c r="AB129" s="2">
        <v>7858.3099999999995</v>
      </c>
    </row>
    <row r="130" spans="1:28" ht="20.25" customHeight="1" x14ac:dyDescent="0.3">
      <c r="A130" s="42">
        <v>125</v>
      </c>
      <c r="B130" s="26" t="s">
        <v>238</v>
      </c>
      <c r="C130" s="26" t="s">
        <v>239</v>
      </c>
      <c r="D130" s="34" t="str">
        <f t="shared" si="55"/>
        <v>Cēsu pilsētas 1. pirmsskolas izglītības iestādes teritorijas labiekārtošanas darbi</v>
      </c>
      <c r="E130" s="34" t="str">
        <f t="shared" si="56"/>
        <v>02.12.2021.</v>
      </c>
      <c r="F130" s="27">
        <v>12403.11</v>
      </c>
      <c r="G130" s="36">
        <f t="shared" si="46"/>
        <v>22390.370000000003</v>
      </c>
      <c r="H130" s="36">
        <f t="shared" si="57"/>
        <v>21853.73</v>
      </c>
      <c r="I130" s="36">
        <f t="shared" si="58"/>
        <v>21204.21</v>
      </c>
      <c r="J130" s="36">
        <f t="shared" si="59"/>
        <v>20552.88</v>
      </c>
      <c r="K130" s="36">
        <f t="shared" si="60"/>
        <v>19909.150000000001</v>
      </c>
      <c r="L130" s="37">
        <f t="shared" si="41"/>
        <v>19266.084455</v>
      </c>
      <c r="M130" s="36">
        <f>VLOOKUP($C130,$AS:$AT,2,0)-19266</f>
        <v>53854.420000000013</v>
      </c>
      <c r="N130" s="38">
        <f t="shared" si="38"/>
        <v>191433.95445500003</v>
      </c>
      <c r="Q130" t="str">
        <f t="shared" si="47"/>
        <v>Cēsu pilsētas 1. pirmsskolas izglītības iestādes teritorijas labiekārtošanas darbi</v>
      </c>
      <c r="R130" t="str">
        <f t="shared" si="48"/>
        <v>02.12.2021.</v>
      </c>
      <c r="U130" s="9" t="s">
        <v>153</v>
      </c>
      <c r="V130" s="9" t="s">
        <v>508</v>
      </c>
      <c r="W130" s="9" t="s">
        <v>153</v>
      </c>
      <c r="X130" s="13" t="s">
        <v>509</v>
      </c>
      <c r="Z130" s="1" t="s">
        <v>248</v>
      </c>
      <c r="AA130" s="1" t="s">
        <v>249</v>
      </c>
      <c r="AB130" s="2">
        <v>18370.96</v>
      </c>
    </row>
    <row r="131" spans="1:28" ht="20.25" customHeight="1" x14ac:dyDescent="0.3">
      <c r="A131" s="42">
        <v>126</v>
      </c>
      <c r="B131" s="26" t="s">
        <v>240</v>
      </c>
      <c r="C131" s="26" t="s">
        <v>241</v>
      </c>
      <c r="D131" s="34" t="str">
        <f t="shared" si="55"/>
        <v>C-19 Piebalgas pamatskolas ēkas pārbūve par sociālās aprūpes centru, Jaunpiebalgas pagasts, Jaunpiebalgas novads</v>
      </c>
      <c r="E131" s="34" t="str">
        <f t="shared" si="56"/>
        <v>23.12.2021.</v>
      </c>
      <c r="F131" s="27">
        <v>73185</v>
      </c>
      <c r="G131" s="36">
        <f t="shared" si="46"/>
        <v>79123.679999999993</v>
      </c>
      <c r="H131" s="36">
        <f t="shared" si="57"/>
        <v>77167.72</v>
      </c>
      <c r="I131" s="36">
        <f t="shared" si="58"/>
        <v>75072.73</v>
      </c>
      <c r="J131" s="36">
        <f t="shared" si="59"/>
        <v>72972.02</v>
      </c>
      <c r="K131" s="36">
        <f t="shared" si="60"/>
        <v>70917.820000000007</v>
      </c>
      <c r="L131" s="37">
        <f t="shared" si="41"/>
        <v>68627.174414000008</v>
      </c>
      <c r="M131" s="36">
        <f>VLOOKUP($C131,$AS:$AT,2,0)-68627</f>
        <v>414564.2099999999</v>
      </c>
      <c r="N131" s="38">
        <f t="shared" si="38"/>
        <v>931630.35441399994</v>
      </c>
      <c r="Q131" t="str">
        <f t="shared" si="47"/>
        <v>C-19 Piebalgas pamatskolas ēkas pārbūve par sociālās aprūpes centru, Jaunpiebalgas pagasts, Jaunpiebalgas novads</v>
      </c>
      <c r="R131" t="str">
        <f t="shared" si="48"/>
        <v>23.12.2021.</v>
      </c>
      <c r="U131" s="9" t="s">
        <v>169</v>
      </c>
      <c r="V131" s="9" t="s">
        <v>510</v>
      </c>
      <c r="W131" s="9" t="s">
        <v>169</v>
      </c>
      <c r="X131" s="13" t="s">
        <v>511</v>
      </c>
      <c r="Z131" s="1" t="s">
        <v>250</v>
      </c>
      <c r="AA131" s="1" t="s">
        <v>251</v>
      </c>
      <c r="AB131" s="2">
        <v>14422.52</v>
      </c>
    </row>
    <row r="132" spans="1:28" ht="20.25" customHeight="1" x14ac:dyDescent="0.3">
      <c r="A132" s="42">
        <v>127</v>
      </c>
      <c r="B132" s="26" t="s">
        <v>242</v>
      </c>
      <c r="C132" s="26" t="s">
        <v>243</v>
      </c>
      <c r="D132" s="34" t="str">
        <f t="shared" si="55"/>
        <v>Jumpravas ielas atjaunošana Līgatnē, Cēsu novadā</v>
      </c>
      <c r="E132" s="34" t="str">
        <f t="shared" si="56"/>
        <v>19.07.2022</v>
      </c>
      <c r="F132" s="27">
        <v>3974</v>
      </c>
      <c r="G132" s="36">
        <f t="shared" si="46"/>
        <v>17605.98</v>
      </c>
      <c r="H132" s="36">
        <f t="shared" si="57"/>
        <v>26396.36</v>
      </c>
      <c r="I132" s="36">
        <f t="shared" si="58"/>
        <v>25539.72</v>
      </c>
      <c r="J132" s="36">
        <f t="shared" si="59"/>
        <v>24680.75</v>
      </c>
      <c r="K132" s="36">
        <f t="shared" si="60"/>
        <v>23834.559999999998</v>
      </c>
      <c r="L132" s="37">
        <f t="shared" si="41"/>
        <v>23064.703711999999</v>
      </c>
      <c r="M132" s="36">
        <f>VLOOKUP($C132,$AS:$AT,2,0)-23064</f>
        <v>86948.950000000012</v>
      </c>
      <c r="N132" s="38">
        <f t="shared" si="38"/>
        <v>232045.02371199999</v>
      </c>
      <c r="Q132" t="str">
        <f t="shared" si="47"/>
        <v>Jumpravas ielas atjaunošana Līgatnē, Cēsu novadā</v>
      </c>
      <c r="R132" t="str">
        <f t="shared" si="48"/>
        <v>19.07.2022</v>
      </c>
      <c r="U132" s="9" t="s">
        <v>173</v>
      </c>
      <c r="V132" s="9" t="s">
        <v>512</v>
      </c>
      <c r="W132" s="9" t="s">
        <v>173</v>
      </c>
      <c r="X132" s="13" t="s">
        <v>513</v>
      </c>
      <c r="Z132" s="1" t="s">
        <v>252</v>
      </c>
      <c r="AA132" s="1" t="s">
        <v>253</v>
      </c>
      <c r="AB132" s="2">
        <v>20605.260000000002</v>
      </c>
    </row>
    <row r="133" spans="1:28" ht="20.25" customHeight="1" x14ac:dyDescent="0.3">
      <c r="A133" s="42">
        <v>128</v>
      </c>
      <c r="B133" s="26" t="s">
        <v>244</v>
      </c>
      <c r="C133" s="26" t="s">
        <v>245</v>
      </c>
      <c r="D133" s="34" t="str">
        <f t="shared" si="55"/>
        <v>Energoefektivitātes paaugstināšana pašvaldības ēkā Rūpnīcas ielā 8, Liepā, Liepas pagastā</v>
      </c>
      <c r="E133" s="34" t="str">
        <f t="shared" si="56"/>
        <v>19.07.2022</v>
      </c>
      <c r="F133" s="27">
        <v>2666</v>
      </c>
      <c r="G133" s="36">
        <f t="shared" si="46"/>
        <v>5581.62</v>
      </c>
      <c r="H133" s="36">
        <f t="shared" si="57"/>
        <v>17591.47</v>
      </c>
      <c r="I133" s="36">
        <f t="shared" si="58"/>
        <v>28957.279999999999</v>
      </c>
      <c r="J133" s="36">
        <f t="shared" si="59"/>
        <v>27839.89</v>
      </c>
      <c r="K133" s="36">
        <f t="shared" si="60"/>
        <v>26727.85</v>
      </c>
      <c r="L133" s="37">
        <f t="shared" si="41"/>
        <v>25864.540444999999</v>
      </c>
      <c r="M133" s="36">
        <f>VLOOKUP($C133,$AS:$AT,2,0)-25865</f>
        <v>11829.309999999998</v>
      </c>
      <c r="N133" s="38">
        <f t="shared" si="38"/>
        <v>147057.96044499998</v>
      </c>
      <c r="Q133" t="str">
        <f t="shared" si="47"/>
        <v>Energoefektivitātes paaugstināšana pašvaldības ēkā Rūpnīcas ielā 8, Liepā, Liepas pagastā</v>
      </c>
      <c r="R133" t="str">
        <f t="shared" si="48"/>
        <v>19.07.2022</v>
      </c>
      <c r="U133" s="9" t="s">
        <v>175</v>
      </c>
      <c r="V133" s="9" t="s">
        <v>514</v>
      </c>
      <c r="W133" s="9" t="s">
        <v>175</v>
      </c>
      <c r="X133" s="13" t="s">
        <v>515</v>
      </c>
      <c r="Z133" s="1" t="s">
        <v>254</v>
      </c>
      <c r="AA133" s="1" t="s">
        <v>255</v>
      </c>
      <c r="AB133" s="2">
        <v>17810.38</v>
      </c>
    </row>
    <row r="134" spans="1:28" ht="20.25" customHeight="1" x14ac:dyDescent="0.3">
      <c r="A134" s="42">
        <v>129</v>
      </c>
      <c r="B134" s="26" t="s">
        <v>246</v>
      </c>
      <c r="C134" s="26" t="s">
        <v>247</v>
      </c>
      <c r="D134" s="34" t="str">
        <f t="shared" si="55"/>
        <v xml:space="preserve">Pašvaldības autoceļa Lieltītmaņi - Upesmuižnieki atjaunošana Līgatnes pagastā, Cēsu novadā </v>
      </c>
      <c r="E134" s="34" t="str">
        <f t="shared" si="56"/>
        <v>19.07.2022</v>
      </c>
      <c r="F134" s="27">
        <v>1823</v>
      </c>
      <c r="G134" s="36">
        <f t="shared" si="46"/>
        <v>7858.3099999999995</v>
      </c>
      <c r="H134" s="36">
        <f t="shared" si="57"/>
        <v>11697.52</v>
      </c>
      <c r="I134" s="36">
        <f t="shared" si="58"/>
        <v>11324.1</v>
      </c>
      <c r="J134" s="36">
        <f t="shared" si="59"/>
        <v>10949.65</v>
      </c>
      <c r="K134" s="36">
        <f t="shared" si="60"/>
        <v>10581.31</v>
      </c>
      <c r="L134" s="37">
        <f t="shared" si="41"/>
        <v>10239.533686999999</v>
      </c>
      <c r="M134" s="36">
        <f>VLOOKUP($C134,$AS:$AT,2,0)-10240</f>
        <v>42946.210000000006</v>
      </c>
      <c r="N134" s="38">
        <f t="shared" si="38"/>
        <v>107419.63368700001</v>
      </c>
      <c r="Q134" t="str">
        <f t="shared" ref="Q134:Q140" si="61">VLOOKUP($C134,$U:$X,2,0)</f>
        <v xml:space="preserve">Pašvaldības autoceļa Lieltītmaņi - Upesmuižnieki atjaunošana Līgatnes pagastā, Cēsu novadā </v>
      </c>
      <c r="R134" t="str">
        <f t="shared" ref="R134:R140" si="62">VLOOKUP($C134,$W:$X,2,0)</f>
        <v>19.07.2022</v>
      </c>
      <c r="U134" s="9" t="s">
        <v>177</v>
      </c>
      <c r="V134" s="9" t="s">
        <v>516</v>
      </c>
      <c r="W134" s="9" t="s">
        <v>177</v>
      </c>
      <c r="X134" s="13" t="s">
        <v>515</v>
      </c>
      <c r="Z134" s="1" t="s">
        <v>256</v>
      </c>
      <c r="AA134" s="1" t="s">
        <v>257</v>
      </c>
      <c r="AB134" s="2">
        <v>13207.26</v>
      </c>
    </row>
    <row r="135" spans="1:28" ht="26.25" customHeight="1" x14ac:dyDescent="0.3">
      <c r="A135" s="42">
        <v>130</v>
      </c>
      <c r="B135" s="26" t="s">
        <v>248</v>
      </c>
      <c r="C135" s="26" t="s">
        <v>249</v>
      </c>
      <c r="D135" s="22" t="s">
        <v>528</v>
      </c>
      <c r="E135" s="30" t="s">
        <v>525</v>
      </c>
      <c r="F135" s="27">
        <v>4264</v>
      </c>
      <c r="G135" s="36">
        <f t="shared" si="46"/>
        <v>18370.96</v>
      </c>
      <c r="H135" s="36">
        <f t="shared" si="57"/>
        <v>27269.83</v>
      </c>
      <c r="I135" s="36">
        <f t="shared" si="58"/>
        <v>26400.52</v>
      </c>
      <c r="J135" s="36">
        <f t="shared" si="59"/>
        <v>25528.82</v>
      </c>
      <c r="K135" s="36">
        <f t="shared" si="60"/>
        <v>24671.43</v>
      </c>
      <c r="L135" s="37">
        <f t="shared" si="41"/>
        <v>23874.542810999999</v>
      </c>
      <c r="M135" s="36">
        <f>VLOOKUP($C135,$AS:$AT,2,0)-23875</f>
        <v>101010.11000000002</v>
      </c>
      <c r="N135" s="38">
        <f t="shared" ref="N135:N141" si="63">SUM(F135:M135)</f>
        <v>251390.212811</v>
      </c>
      <c r="Q135" t="e">
        <f t="shared" si="61"/>
        <v>#N/A</v>
      </c>
      <c r="R135" t="e">
        <f t="shared" si="62"/>
        <v>#N/A</v>
      </c>
      <c r="U135" s="10" t="s">
        <v>269</v>
      </c>
      <c r="V135" s="9" t="s">
        <v>517</v>
      </c>
      <c r="W135" s="10" t="s">
        <v>269</v>
      </c>
      <c r="X135" s="13" t="s">
        <v>518</v>
      </c>
      <c r="Z135" s="1" t="s">
        <v>258</v>
      </c>
      <c r="AA135" s="1" t="s">
        <v>259</v>
      </c>
      <c r="AB135" s="2">
        <v>14587.35</v>
      </c>
    </row>
    <row r="136" spans="1:28" ht="27.75" customHeight="1" x14ac:dyDescent="0.3">
      <c r="A136" s="42">
        <v>131</v>
      </c>
      <c r="B136" s="26" t="s">
        <v>250</v>
      </c>
      <c r="C136" s="26" t="s">
        <v>251</v>
      </c>
      <c r="D136" s="31" t="s">
        <v>529</v>
      </c>
      <c r="E136" s="32" t="s">
        <v>525</v>
      </c>
      <c r="F136" s="27">
        <v>3353</v>
      </c>
      <c r="G136" s="36">
        <f t="shared" si="46"/>
        <v>14422.52</v>
      </c>
      <c r="H136" s="36">
        <f t="shared" si="57"/>
        <v>21444.43</v>
      </c>
      <c r="I136" s="36">
        <f t="shared" si="58"/>
        <v>20760.809999999998</v>
      </c>
      <c r="J136" s="36">
        <f t="shared" si="59"/>
        <v>20075.32</v>
      </c>
      <c r="K136" s="36">
        <f t="shared" si="60"/>
        <v>19401.11</v>
      </c>
      <c r="L136" s="37">
        <f t="shared" si="41"/>
        <v>18774.454147</v>
      </c>
      <c r="M136" s="36">
        <f>VLOOKUP($C136,$AS:$AT,2,0)-18774</f>
        <v>79433</v>
      </c>
      <c r="N136" s="38">
        <f t="shared" si="63"/>
        <v>197664.64414699998</v>
      </c>
      <c r="Q136" t="e">
        <f t="shared" si="61"/>
        <v>#N/A</v>
      </c>
      <c r="R136" t="e">
        <f t="shared" si="62"/>
        <v>#N/A</v>
      </c>
      <c r="U136" s="8" t="s">
        <v>201</v>
      </c>
      <c r="V136" s="9" t="s">
        <v>519</v>
      </c>
      <c r="W136" s="8" t="s">
        <v>201</v>
      </c>
      <c r="X136" s="13" t="s">
        <v>520</v>
      </c>
      <c r="Z136" s="3"/>
      <c r="AA136" s="3"/>
      <c r="AB136" s="4">
        <v>4891075.2599999979</v>
      </c>
    </row>
    <row r="137" spans="1:28" ht="20.25" customHeight="1" x14ac:dyDescent="0.3">
      <c r="A137" s="42">
        <v>132</v>
      </c>
      <c r="B137" s="26" t="s">
        <v>252</v>
      </c>
      <c r="C137" s="26" t="s">
        <v>253</v>
      </c>
      <c r="D137" s="33" t="s">
        <v>530</v>
      </c>
      <c r="E137" s="32" t="s">
        <v>525</v>
      </c>
      <c r="F137" s="27">
        <v>4437</v>
      </c>
      <c r="G137" s="36">
        <f t="shared" si="46"/>
        <v>20605.260000000002</v>
      </c>
      <c r="H137" s="36">
        <f t="shared" si="57"/>
        <v>31287.449999999997</v>
      </c>
      <c r="I137" s="36">
        <f t="shared" si="58"/>
        <v>30244.94</v>
      </c>
      <c r="J137" s="36">
        <f t="shared" si="59"/>
        <v>29199.56</v>
      </c>
      <c r="K137" s="36">
        <f t="shared" si="60"/>
        <v>28167.48</v>
      </c>
      <c r="L137" s="37">
        <f t="shared" si="41"/>
        <v>27257.670396000001</v>
      </c>
      <c r="M137" s="36">
        <f>VLOOKUP($C137,$AS:$AT,2,0)-27258</f>
        <v>84157.95</v>
      </c>
      <c r="N137" s="38">
        <f t="shared" si="63"/>
        <v>255357.31039599999</v>
      </c>
      <c r="Q137" t="e">
        <f t="shared" si="61"/>
        <v>#N/A</v>
      </c>
      <c r="R137" t="e">
        <f t="shared" si="62"/>
        <v>#N/A</v>
      </c>
      <c r="U137" s="8" t="s">
        <v>203</v>
      </c>
      <c r="V137" s="9" t="s">
        <v>519</v>
      </c>
      <c r="W137" s="8" t="s">
        <v>203</v>
      </c>
      <c r="X137" s="13" t="s">
        <v>520</v>
      </c>
    </row>
    <row r="138" spans="1:28" ht="20.25" customHeight="1" x14ac:dyDescent="0.3">
      <c r="A138" s="42">
        <v>133</v>
      </c>
      <c r="B138" s="26" t="s">
        <v>254</v>
      </c>
      <c r="C138" s="26" t="s">
        <v>255</v>
      </c>
      <c r="D138" s="34" t="str">
        <f>VLOOKUP($C138,$U:$X,2,0)</f>
        <v>Pašvaldības autoceļa Čaukas–Kūdums atjaunošana ar divkārtu virsmas apstrāde Raiskuma pagastā, Cēsu novadā</v>
      </c>
      <c r="E138" s="34" t="str">
        <f>VLOOKUP($C138,$W:$X,2,0)</f>
        <v>27.09.2022.</v>
      </c>
      <c r="F138" s="27">
        <v>7170</v>
      </c>
      <c r="G138" s="36">
        <f t="shared" si="46"/>
        <v>17810.38</v>
      </c>
      <c r="H138" s="36">
        <f t="shared" si="57"/>
        <v>36192.29</v>
      </c>
      <c r="I138" s="36">
        <f t="shared" si="58"/>
        <v>35060.29</v>
      </c>
      <c r="J138" s="36">
        <f t="shared" si="59"/>
        <v>33909.24</v>
      </c>
      <c r="K138" s="36">
        <f t="shared" si="60"/>
        <v>32777.1</v>
      </c>
      <c r="L138" s="37">
        <f t="shared" si="41"/>
        <v>31718.399669999999</v>
      </c>
      <c r="M138" s="36">
        <f>VLOOKUP($C138,$AS:$AT,2,0)-31718</f>
        <v>134383.53</v>
      </c>
      <c r="N138" s="38">
        <f t="shared" si="63"/>
        <v>329021.22967000003</v>
      </c>
      <c r="Q138" t="str">
        <f t="shared" si="61"/>
        <v>Pašvaldības autoceļa Čaukas–Kūdums atjaunošana ar divkārtu virsmas apstrāde Raiskuma pagastā, Cēsu novadā</v>
      </c>
      <c r="R138" t="str">
        <f t="shared" si="62"/>
        <v>27.09.2022.</v>
      </c>
      <c r="U138" s="8" t="s">
        <v>219</v>
      </c>
      <c r="V138" s="9" t="s">
        <v>521</v>
      </c>
      <c r="W138" s="8" t="s">
        <v>219</v>
      </c>
      <c r="X138" s="13" t="s">
        <v>493</v>
      </c>
    </row>
    <row r="139" spans="1:28" ht="20.25" customHeight="1" x14ac:dyDescent="0.3">
      <c r="A139" s="42">
        <v>134</v>
      </c>
      <c r="B139" s="26" t="s">
        <v>256</v>
      </c>
      <c r="C139" s="26" t="s">
        <v>257</v>
      </c>
      <c r="D139" s="34" t="str">
        <f>VLOOKUP($C139,$U:$X,2,0)</f>
        <v>Divkārtu virsmas apstrāde Meldru, Pureņu, Viršu, Niedru, Mārtiņa, Ķiršu, Vārnu, Vālodzes, Ata Kronvalda un Kalnmuižas ielās Cēsīs</v>
      </c>
      <c r="E139" s="34" t="str">
        <f>VLOOKUP($C139,$W:$X,2,0)</f>
        <v>04.11.2022.</v>
      </c>
      <c r="F139" s="27">
        <v>6013</v>
      </c>
      <c r="G139" s="36">
        <f t="shared" si="46"/>
        <v>13207.26</v>
      </c>
      <c r="H139" s="36">
        <f t="shared" si="57"/>
        <v>25649.48</v>
      </c>
      <c r="I139" s="36">
        <f t="shared" si="58"/>
        <v>24771.57</v>
      </c>
      <c r="J139" s="36">
        <f t="shared" si="59"/>
        <v>23884.79</v>
      </c>
      <c r="K139" s="36">
        <f t="shared" si="60"/>
        <v>23013.190000000002</v>
      </c>
      <c r="L139" s="37">
        <f t="shared" si="41"/>
        <v>22269.863963000003</v>
      </c>
      <c r="M139" s="36">
        <f>VLOOKUP($C139,$AS:$AT,2,0)-22270</f>
        <v>97121.260000000009</v>
      </c>
      <c r="N139" s="38">
        <f t="shared" si="63"/>
        <v>235930.41396300003</v>
      </c>
      <c r="Q139" t="str">
        <f t="shared" si="61"/>
        <v>Divkārtu virsmas apstrāde Meldru, Pureņu, Viršu, Niedru, Mārtiņa, Ķiršu, Vārnu, Vālodzes, Ata Kronvalda un Kalnmuižas ielās Cēsīs</v>
      </c>
      <c r="R139" t="str">
        <f t="shared" si="62"/>
        <v>04.11.2022.</v>
      </c>
      <c r="U139" s="9" t="s">
        <v>231</v>
      </c>
      <c r="V139" s="9" t="s">
        <v>522</v>
      </c>
      <c r="W139" s="9" t="s">
        <v>231</v>
      </c>
      <c r="X139" s="14" t="s">
        <v>394</v>
      </c>
    </row>
    <row r="140" spans="1:28" ht="20.25" customHeight="1" x14ac:dyDescent="0.3">
      <c r="A140" s="42">
        <v>135</v>
      </c>
      <c r="B140" s="53" t="s">
        <v>258</v>
      </c>
      <c r="C140" s="53" t="s">
        <v>259</v>
      </c>
      <c r="D140" s="54" t="str">
        <f>VLOOKUP($C140,$U:$X,2,0)</f>
        <v>Siltumtīklu  izbūve no Br. Kaudzīšu ielas 3A līdz Gaujas ielai 25A un no Gaujas ielas 25A līdz Priežu ielai 8, Jaunpiebalgā, Jaunpiebalgas pagastā, Cēsu novadā</v>
      </c>
      <c r="E140" s="54" t="str">
        <f>VLOOKUP($C140,$W:$X,2,0)</f>
        <v>04.11.2022.</v>
      </c>
      <c r="F140" s="55">
        <v>6621</v>
      </c>
      <c r="G140" s="56">
        <f t="shared" si="46"/>
        <v>14587.35</v>
      </c>
      <c r="H140" s="56">
        <f t="shared" si="57"/>
        <v>28255.4</v>
      </c>
      <c r="I140" s="56">
        <f t="shared" si="58"/>
        <v>27287.93</v>
      </c>
      <c r="J140" s="56">
        <f t="shared" si="59"/>
        <v>26311.07</v>
      </c>
      <c r="K140" s="56">
        <f t="shared" si="60"/>
        <v>25350.92</v>
      </c>
      <c r="L140" s="56">
        <f t="shared" si="41"/>
        <v>24532.085283999997</v>
      </c>
      <c r="M140" s="56">
        <f>VLOOKUP($C140,$AS:$AT,2,0)-24532</f>
        <v>106987.34999999998</v>
      </c>
      <c r="N140" s="57">
        <f t="shared" si="63"/>
        <v>259933.10528399996</v>
      </c>
      <c r="Q140" t="str">
        <f t="shared" si="61"/>
        <v>Siltumtīklu  izbūve no Br. Kaudzīšu ielas 3A līdz Gaujas ielai 25A un no Gaujas ielas 25A līdz Priežu ielai 8, Jaunpiebalgā, Jaunpiebalgas pagastā, Cēsu novadā</v>
      </c>
      <c r="R140" t="str">
        <f t="shared" si="62"/>
        <v>04.11.2022.</v>
      </c>
      <c r="U140" s="9" t="s">
        <v>235</v>
      </c>
      <c r="V140" s="9" t="s">
        <v>523</v>
      </c>
      <c r="W140" s="9" t="s">
        <v>235</v>
      </c>
      <c r="X140" s="14" t="s">
        <v>394</v>
      </c>
    </row>
    <row r="141" spans="1:28" ht="20.399999999999999" customHeight="1" x14ac:dyDescent="0.3">
      <c r="A141" s="59"/>
      <c r="B141" s="60"/>
      <c r="C141" s="60"/>
      <c r="D141" s="61" t="s">
        <v>545</v>
      </c>
      <c r="E141" s="59" t="s">
        <v>545</v>
      </c>
      <c r="F141" s="62">
        <f>SUM(F6:F140)</f>
        <v>4537481.4000000004</v>
      </c>
      <c r="G141" s="63">
        <f t="shared" ref="G141:M141" si="64">SUM(G5:G140)</f>
        <v>4891075.2599999979</v>
      </c>
      <c r="H141" s="63">
        <f t="shared" si="64"/>
        <v>4484806.5700000022</v>
      </c>
      <c r="I141" s="63">
        <f t="shared" si="64"/>
        <v>4171813.9</v>
      </c>
      <c r="J141" s="63">
        <f t="shared" si="64"/>
        <v>3809953.8099999991</v>
      </c>
      <c r="K141" s="63">
        <f t="shared" si="64"/>
        <v>3496825.4400000004</v>
      </c>
      <c r="L141" s="63">
        <f t="shared" si="64"/>
        <v>3220442.1586469994</v>
      </c>
      <c r="M141" s="63">
        <f t="shared" si="64"/>
        <v>19305705.270000007</v>
      </c>
      <c r="N141" s="64">
        <f t="shared" si="63"/>
        <v>47918103.808647007</v>
      </c>
      <c r="U141" s="9" t="s">
        <v>243</v>
      </c>
      <c r="V141" s="19" t="s">
        <v>524</v>
      </c>
      <c r="W141" s="9" t="s">
        <v>243</v>
      </c>
      <c r="X141" s="13" t="s">
        <v>525</v>
      </c>
    </row>
    <row r="142" spans="1:28" ht="14.4" customHeight="1" x14ac:dyDescent="0.3">
      <c r="A142" s="97" t="s">
        <v>546</v>
      </c>
      <c r="B142" s="97"/>
      <c r="C142" s="97"/>
      <c r="D142" s="97"/>
      <c r="E142" s="65"/>
      <c r="F142" s="66"/>
      <c r="G142" s="65"/>
      <c r="H142" s="65"/>
      <c r="I142" s="65"/>
      <c r="J142" s="65"/>
      <c r="K142" s="65"/>
      <c r="L142" s="65"/>
      <c r="M142" s="65"/>
      <c r="N142" s="65"/>
      <c r="U142" s="9" t="s">
        <v>245</v>
      </c>
      <c r="V142" s="20" t="s">
        <v>526</v>
      </c>
      <c r="W142" s="9" t="s">
        <v>245</v>
      </c>
      <c r="X142" s="13" t="s">
        <v>525</v>
      </c>
    </row>
    <row r="143" spans="1:28" ht="12.6" customHeight="1" x14ac:dyDescent="0.3">
      <c r="A143" s="67"/>
      <c r="B143" s="68" t="s">
        <v>549</v>
      </c>
      <c r="C143" s="69"/>
      <c r="D143" s="65" t="s">
        <v>547</v>
      </c>
      <c r="E143" s="65">
        <v>2023</v>
      </c>
      <c r="F143" s="70">
        <f>10443231*0.03/4</f>
        <v>78324.232499999998</v>
      </c>
      <c r="G143" s="70">
        <f>10443231*0.03</f>
        <v>313296.93</v>
      </c>
      <c r="H143" s="70">
        <f>10443231*0.03+522162</f>
        <v>835458.92999999993</v>
      </c>
      <c r="I143" s="70">
        <f>(10443231-522162)*0.03+522162</f>
        <v>819794.07000000007</v>
      </c>
      <c r="J143" s="70">
        <f>(10443231-522162*2)*0.03+522162</f>
        <v>804129.21</v>
      </c>
      <c r="K143" s="70">
        <f>(10443231-522162*3)*0.03+522162</f>
        <v>788464.35</v>
      </c>
      <c r="L143" s="70">
        <f>(10443231-522162*4)*0.03+522162</f>
        <v>772799.49</v>
      </c>
      <c r="M143" s="70">
        <f>(10443231-522162*5)*0.03+522162*15</f>
        <v>8067402.6299999999</v>
      </c>
      <c r="N143" s="71">
        <f>F143+G143+H143+I143+J143+K143+L143+M143</f>
        <v>12479669.842499999</v>
      </c>
      <c r="U143" s="9" t="s">
        <v>247</v>
      </c>
      <c r="V143" s="21" t="s">
        <v>527</v>
      </c>
      <c r="W143" s="9" t="s">
        <v>247</v>
      </c>
      <c r="X143" s="13" t="s">
        <v>525</v>
      </c>
    </row>
    <row r="144" spans="1:28" ht="12.6" customHeight="1" x14ac:dyDescent="0.3">
      <c r="A144" s="67"/>
      <c r="B144" s="69"/>
      <c r="C144" s="69"/>
      <c r="D144" s="69"/>
      <c r="E144" s="65"/>
      <c r="F144" s="69"/>
      <c r="G144" s="65"/>
      <c r="H144" s="65"/>
      <c r="I144" s="65"/>
      <c r="J144" s="65"/>
      <c r="K144" s="65"/>
      <c r="L144" s="65"/>
      <c r="M144" s="65"/>
      <c r="N144" s="65"/>
      <c r="U144" s="9" t="s">
        <v>247</v>
      </c>
      <c r="V144" s="22" t="s">
        <v>528</v>
      </c>
      <c r="W144" s="9" t="s">
        <v>247</v>
      </c>
      <c r="X144" s="13" t="s">
        <v>525</v>
      </c>
    </row>
    <row r="145" spans="1:24" ht="12.6" customHeight="1" x14ac:dyDescent="0.3">
      <c r="A145" s="59"/>
      <c r="B145" s="72" t="s">
        <v>556</v>
      </c>
      <c r="C145" s="72"/>
      <c r="D145" s="73"/>
      <c r="E145" s="74"/>
      <c r="F145" s="63">
        <f t="shared" ref="F145:L145" si="65">F141+F143</f>
        <v>4615805.6325000003</v>
      </c>
      <c r="G145" s="63">
        <f t="shared" si="65"/>
        <v>5204372.1899999976</v>
      </c>
      <c r="H145" s="63">
        <f t="shared" si="65"/>
        <v>5320265.5000000019</v>
      </c>
      <c r="I145" s="63">
        <f t="shared" si="65"/>
        <v>4991607.97</v>
      </c>
      <c r="J145" s="63">
        <f t="shared" si="65"/>
        <v>4614083.0199999996</v>
      </c>
      <c r="K145" s="63">
        <f t="shared" si="65"/>
        <v>4285289.79</v>
      </c>
      <c r="L145" s="63">
        <f t="shared" si="65"/>
        <v>3993241.6486469992</v>
      </c>
      <c r="M145" s="63">
        <f t="shared" ref="M145" si="66">M141+M143</f>
        <v>27373107.900000006</v>
      </c>
      <c r="N145" s="63">
        <f>SUM(F145:M145)</f>
        <v>60397773.651147008</v>
      </c>
      <c r="U145" s="9" t="s">
        <v>247</v>
      </c>
      <c r="V145" s="23" t="s">
        <v>529</v>
      </c>
      <c r="W145" s="9" t="s">
        <v>247</v>
      </c>
      <c r="X145" s="13" t="s">
        <v>525</v>
      </c>
    </row>
    <row r="146" spans="1:24" ht="12.6" customHeight="1" x14ac:dyDescent="0.3">
      <c r="A146" s="67"/>
      <c r="B146" s="69"/>
      <c r="C146" s="69"/>
      <c r="D146" s="69"/>
      <c r="E146" s="65"/>
      <c r="F146" s="69"/>
      <c r="G146" s="65"/>
      <c r="H146" s="65"/>
      <c r="I146" s="65"/>
      <c r="J146" s="65"/>
      <c r="K146" s="65"/>
      <c r="L146" s="65"/>
      <c r="M146" s="65"/>
      <c r="N146" s="65"/>
      <c r="U146" s="9" t="s">
        <v>247</v>
      </c>
      <c r="V146" s="24" t="s">
        <v>530</v>
      </c>
      <c r="W146" s="9" t="s">
        <v>247</v>
      </c>
      <c r="X146" s="13" t="s">
        <v>525</v>
      </c>
    </row>
    <row r="147" spans="1:24" ht="12.6" customHeight="1" x14ac:dyDescent="0.3">
      <c r="A147" s="67"/>
      <c r="B147" s="75" t="s">
        <v>548</v>
      </c>
      <c r="C147" s="69"/>
      <c r="D147" s="69"/>
      <c r="E147" s="65"/>
      <c r="F147" s="69"/>
      <c r="G147" s="65"/>
      <c r="H147" s="65"/>
      <c r="I147" s="65"/>
      <c r="J147" s="65"/>
      <c r="K147" s="65"/>
      <c r="L147" s="65"/>
      <c r="M147" s="65"/>
      <c r="N147" s="65"/>
      <c r="U147" s="9" t="s">
        <v>255</v>
      </c>
      <c r="V147" s="25" t="s">
        <v>531</v>
      </c>
      <c r="W147" s="9" t="s">
        <v>255</v>
      </c>
      <c r="X147" s="13" t="s">
        <v>532</v>
      </c>
    </row>
    <row r="148" spans="1:24" ht="12.6" customHeight="1" x14ac:dyDescent="0.3">
      <c r="A148" s="67"/>
      <c r="B148" s="76"/>
      <c r="C148" s="76"/>
      <c r="D148" s="76" t="s">
        <v>550</v>
      </c>
      <c r="E148" s="77" t="s">
        <v>551</v>
      </c>
      <c r="F148" s="78">
        <f>341*12</f>
        <v>4092</v>
      </c>
      <c r="G148" s="78">
        <f>341*12</f>
        <v>4092</v>
      </c>
      <c r="H148" s="78">
        <f>341*12</f>
        <v>4092</v>
      </c>
      <c r="I148" s="78">
        <f>341*12</f>
        <v>4092</v>
      </c>
      <c r="J148" s="78">
        <f>341*12</f>
        <v>4092</v>
      </c>
      <c r="K148" s="78">
        <f>341*11+373+2-10</f>
        <v>4116</v>
      </c>
      <c r="L148" s="78">
        <v>9</v>
      </c>
      <c r="M148" s="78">
        <v>0</v>
      </c>
      <c r="N148" s="79">
        <f>SUM(F148:M148)</f>
        <v>24585</v>
      </c>
      <c r="U148" s="9" t="s">
        <v>257</v>
      </c>
      <c r="V148" s="21" t="s">
        <v>533</v>
      </c>
      <c r="W148" s="9" t="s">
        <v>257</v>
      </c>
      <c r="X148" s="13" t="s">
        <v>534</v>
      </c>
    </row>
    <row r="149" spans="1:24" ht="24.6" customHeight="1" x14ac:dyDescent="0.3">
      <c r="A149" s="67"/>
      <c r="B149" s="76" t="s">
        <v>553</v>
      </c>
      <c r="C149" s="76" t="s">
        <v>552</v>
      </c>
      <c r="D149" s="76" t="s">
        <v>554</v>
      </c>
      <c r="E149" s="77" t="s">
        <v>555</v>
      </c>
      <c r="F149" s="78">
        <v>692</v>
      </c>
      <c r="G149" s="78">
        <f t="shared" ref="G149:L149" si="67">173*4</f>
        <v>692</v>
      </c>
      <c r="H149" s="78">
        <f t="shared" si="67"/>
        <v>692</v>
      </c>
      <c r="I149" s="78">
        <f t="shared" si="67"/>
        <v>692</v>
      </c>
      <c r="J149" s="78">
        <f t="shared" si="67"/>
        <v>692</v>
      </c>
      <c r="K149" s="78">
        <f t="shared" si="67"/>
        <v>692</v>
      </c>
      <c r="L149" s="78">
        <f t="shared" si="67"/>
        <v>692</v>
      </c>
      <c r="M149" s="78">
        <v>1038</v>
      </c>
      <c r="N149" s="80">
        <f>SUM(F149:M149)</f>
        <v>5882</v>
      </c>
      <c r="U149" s="9" t="s">
        <v>259</v>
      </c>
      <c r="V149" s="9" t="s">
        <v>535</v>
      </c>
      <c r="W149" s="9" t="s">
        <v>259</v>
      </c>
      <c r="X149" s="13" t="s">
        <v>534</v>
      </c>
    </row>
    <row r="150" spans="1:24" x14ac:dyDescent="0.3">
      <c r="A150" s="59"/>
      <c r="B150" s="81" t="s">
        <v>557</v>
      </c>
      <c r="C150" s="60"/>
      <c r="D150" s="73" t="s">
        <v>545</v>
      </c>
      <c r="E150" s="73" t="s">
        <v>545</v>
      </c>
      <c r="F150" s="82">
        <f>F148+F149</f>
        <v>4784</v>
      </c>
      <c r="G150" s="82">
        <f t="shared" ref="G150:M150" si="68">G148+G149</f>
        <v>4784</v>
      </c>
      <c r="H150" s="82">
        <f t="shared" si="68"/>
        <v>4784</v>
      </c>
      <c r="I150" s="82">
        <f t="shared" si="68"/>
        <v>4784</v>
      </c>
      <c r="J150" s="82">
        <f t="shared" si="68"/>
        <v>4784</v>
      </c>
      <c r="K150" s="82">
        <f t="shared" si="68"/>
        <v>4808</v>
      </c>
      <c r="L150" s="82">
        <f t="shared" si="68"/>
        <v>701</v>
      </c>
      <c r="M150" s="82">
        <f t="shared" si="68"/>
        <v>1038</v>
      </c>
      <c r="N150" s="83">
        <f>SUM(F150:M150)</f>
        <v>30467</v>
      </c>
    </row>
    <row r="151" spans="1:24" x14ac:dyDescent="0.3">
      <c r="A151" s="84"/>
      <c r="B151" s="98" t="s">
        <v>558</v>
      </c>
      <c r="C151" s="98"/>
      <c r="D151" s="98"/>
      <c r="E151" s="85"/>
      <c r="F151" s="86">
        <f>F145+F150</f>
        <v>4620589.6325000003</v>
      </c>
      <c r="G151" s="86">
        <f t="shared" ref="G151:M151" si="69">G145+G150</f>
        <v>5209156.1899999976</v>
      </c>
      <c r="H151" s="86">
        <f t="shared" si="69"/>
        <v>5325049.5000000019</v>
      </c>
      <c r="I151" s="86">
        <f t="shared" si="69"/>
        <v>4996391.97</v>
      </c>
      <c r="J151" s="86">
        <f t="shared" si="69"/>
        <v>4618867.0199999996</v>
      </c>
      <c r="K151" s="86">
        <f t="shared" si="69"/>
        <v>4290097.79</v>
      </c>
      <c r="L151" s="86">
        <f t="shared" si="69"/>
        <v>3993942.6486469992</v>
      </c>
      <c r="M151" s="86">
        <f t="shared" si="69"/>
        <v>27374145.900000006</v>
      </c>
      <c r="N151" s="86">
        <f>SUM(F151:M151)</f>
        <v>60428240.651147008</v>
      </c>
    </row>
    <row r="152" spans="1:24" x14ac:dyDescent="0.3">
      <c r="A152" s="67"/>
      <c r="B152" s="69"/>
      <c r="C152" s="69"/>
      <c r="D152" s="69"/>
      <c r="E152" s="65"/>
      <c r="F152" s="69"/>
      <c r="G152" s="65"/>
      <c r="H152" s="65"/>
      <c r="I152" s="65"/>
      <c r="J152" s="65"/>
      <c r="K152" s="65"/>
      <c r="L152" s="65"/>
      <c r="M152" s="65"/>
      <c r="N152" s="65"/>
    </row>
    <row r="153" spans="1:24" ht="23.4" customHeight="1" x14ac:dyDescent="0.3">
      <c r="A153" s="67"/>
      <c r="B153" s="102" t="s">
        <v>559</v>
      </c>
      <c r="C153" s="103"/>
      <c r="D153" s="104"/>
      <c r="E153" s="87"/>
      <c r="F153" s="88">
        <f>F151/$N$155*100</f>
        <v>8.5350588265739997</v>
      </c>
      <c r="G153" s="88">
        <f t="shared" ref="G153:L153" si="70">G151/$N$155*100</f>
        <v>9.6222469543148854</v>
      </c>
      <c r="H153" s="88">
        <f t="shared" si="70"/>
        <v>9.8363227102528175</v>
      </c>
      <c r="I153" s="88">
        <f t="shared" si="70"/>
        <v>9.2292332313222243</v>
      </c>
      <c r="J153" s="88">
        <f t="shared" si="70"/>
        <v>8.5318768519360688</v>
      </c>
      <c r="K153" s="88">
        <f t="shared" si="70"/>
        <v>7.9245810430461558</v>
      </c>
      <c r="L153" s="88">
        <f t="shared" si="70"/>
        <v>7.3775293127948869</v>
      </c>
      <c r="M153" s="89" t="s">
        <v>545</v>
      </c>
      <c r="N153" s="89" t="s">
        <v>545</v>
      </c>
      <c r="O153" s="52" t="s">
        <v>545</v>
      </c>
    </row>
    <row r="154" spans="1:24" x14ac:dyDescent="0.3">
      <c r="B154" s="45"/>
      <c r="C154" s="45"/>
      <c r="D154" s="45"/>
      <c r="E154" s="46"/>
      <c r="F154" s="46"/>
      <c r="G154" s="58"/>
      <c r="H154" s="58"/>
      <c r="I154" s="58"/>
      <c r="J154" s="58"/>
      <c r="K154" s="58"/>
      <c r="L154" s="58"/>
      <c r="M154" s="58"/>
      <c r="N154" s="58"/>
      <c r="O154" s="47"/>
    </row>
    <row r="155" spans="1:24" ht="40.799999999999997" customHeight="1" x14ac:dyDescent="0.3">
      <c r="B155" s="99" t="s">
        <v>560</v>
      </c>
      <c r="C155" s="100"/>
      <c r="D155" s="100"/>
      <c r="E155" s="101"/>
      <c r="F155" s="43"/>
      <c r="G155" s="48"/>
      <c r="H155" s="48"/>
      <c r="I155" s="48"/>
      <c r="J155" s="48"/>
      <c r="K155" s="48"/>
      <c r="L155" s="48"/>
      <c r="M155" s="48"/>
      <c r="N155" s="50">
        <f>76145613-445168-16267596-5296261</f>
        <v>54136588</v>
      </c>
      <c r="O155" s="49">
        <f>78572505-24168018-6929268-491048</f>
        <v>46984171</v>
      </c>
    </row>
    <row r="156" spans="1:24" x14ac:dyDescent="0.3">
      <c r="N156" s="51"/>
    </row>
  </sheetData>
  <autoFilter ref="A5:N141" xr:uid="{FEBB661F-2B2F-4479-A8AD-26FA340DA58C}"/>
  <mergeCells count="12">
    <mergeCell ref="A142:D142"/>
    <mergeCell ref="B151:D151"/>
    <mergeCell ref="B155:E155"/>
    <mergeCell ref="B153:D153"/>
    <mergeCell ref="M1:N1"/>
    <mergeCell ref="B2:Q2"/>
    <mergeCell ref="A4:A5"/>
    <mergeCell ref="D4:D5"/>
    <mergeCell ref="E4:E5"/>
    <mergeCell ref="F4:N4"/>
    <mergeCell ref="C4:C5"/>
    <mergeCell ref="B4:B5"/>
  </mergeCells>
  <phoneticPr fontId="12" type="noConversion"/>
  <pageMargins left="0.7" right="0.7" top="0.75" bottom="0.75" header="0.3" footer="0.3"/>
  <pageSetup paperSize="9" scale="5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01.01.2023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Aivija Zerne</dc:creator>
  <cp:lastModifiedBy>Inese Ģērmane</cp:lastModifiedBy>
  <cp:lastPrinted>2023-02-13T12:23:09Z</cp:lastPrinted>
  <dcterms:created xsi:type="dcterms:W3CDTF">2023-02-08T21:30:38Z</dcterms:created>
  <dcterms:modified xsi:type="dcterms:W3CDTF">2023-02-20T17:58:16Z</dcterms:modified>
</cp:coreProperties>
</file>